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5e0\AC\Temp\"/>
    </mc:Choice>
  </mc:AlternateContent>
  <xr:revisionPtr revIDLastSave="0" documentId="8_{607615EC-80F4-8E43-AD25-256C49DF44F4}" xr6:coauthVersionLast="47" xr6:coauthVersionMax="47" xr10:uidLastSave="{00000000-0000-0000-0000-000000000000}"/>
  <bookViews>
    <workbookView xWindow="-60" yWindow="-60" windowWidth="15480" windowHeight="11640" xr2:uid="{95FA3B76-180E-4674-BBB5-0018A04BA93A}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Druckversion!$A$1:$BR$118</definedName>
    <definedName name="_xlnm.Print_Area" localSheetId="0">Ergebniseingabe!$A$1:$BQ$117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D25" i="2"/>
  <c r="D26" i="2"/>
  <c r="D27" i="2"/>
  <c r="D28" i="2"/>
  <c r="D29" i="2"/>
  <c r="D30" i="2"/>
  <c r="D31" i="2"/>
  <c r="D32" i="2"/>
  <c r="D33" i="2"/>
  <c r="D34" i="2"/>
  <c r="D23" i="2"/>
  <c r="AH37" i="1"/>
  <c r="AG33" i="2"/>
  <c r="L37" i="1"/>
  <c r="K33" i="2"/>
  <c r="AH36" i="1"/>
  <c r="L36" i="1"/>
  <c r="K32" i="2"/>
  <c r="AH33" i="1"/>
  <c r="L33" i="1"/>
  <c r="K29" i="2"/>
  <c r="AH32" i="1"/>
  <c r="AG28" i="2"/>
  <c r="L32" i="1"/>
  <c r="K28" i="2"/>
  <c r="AH29" i="1"/>
  <c r="L29" i="1"/>
  <c r="AH28" i="1"/>
  <c r="AG24" i="2"/>
  <c r="L28" i="1"/>
  <c r="K24" i="2"/>
  <c r="L27" i="1"/>
  <c r="K23" i="2"/>
  <c r="AH38" i="1"/>
  <c r="AH35" i="1"/>
  <c r="AG31" i="2"/>
  <c r="L38" i="1"/>
  <c r="L35" i="1"/>
  <c r="F17" i="3"/>
  <c r="F39" i="3"/>
  <c r="E45" i="3"/>
  <c r="F16" i="3"/>
  <c r="F15" i="3"/>
  <c r="E38" i="3"/>
  <c r="F14" i="3"/>
  <c r="E35" i="3"/>
  <c r="E37" i="3"/>
  <c r="F8" i="3"/>
  <c r="F27" i="3"/>
  <c r="E33" i="3"/>
  <c r="F7" i="3"/>
  <c r="F26" i="3"/>
  <c r="F6" i="3"/>
  <c r="E27" i="3"/>
  <c r="F5" i="3"/>
  <c r="E25" i="3"/>
  <c r="L30" i="1"/>
  <c r="L31" i="1"/>
  <c r="L34" i="1"/>
  <c r="AH27" i="1"/>
  <c r="AH30" i="1"/>
  <c r="AG26" i="2"/>
  <c r="AH31" i="1"/>
  <c r="AG27" i="2"/>
  <c r="AH34" i="1"/>
  <c r="B18" i="3"/>
  <c r="B9" i="3"/>
  <c r="H27" i="1"/>
  <c r="H28" i="1"/>
  <c r="H29" i="1"/>
  <c r="AW14" i="1"/>
  <c r="AW70" i="1"/>
  <c r="AV71" i="2"/>
  <c r="AI14" i="1"/>
  <c r="AI70" i="1"/>
  <c r="U14" i="1"/>
  <c r="U70" i="1"/>
  <c r="T71" i="2"/>
  <c r="X14" i="1"/>
  <c r="AC11" i="1"/>
  <c r="AH71" i="2"/>
  <c r="X70" i="1"/>
  <c r="W71" i="2"/>
  <c r="G23" i="2"/>
  <c r="AV10" i="2"/>
  <c r="AH10" i="2"/>
  <c r="W10" i="2"/>
  <c r="T10" i="2"/>
  <c r="AB10" i="2"/>
  <c r="G10" i="2"/>
  <c r="B2" i="2"/>
  <c r="B64" i="2"/>
  <c r="B3" i="2"/>
  <c r="B65" i="2"/>
  <c r="B4" i="2"/>
  <c r="B6" i="2"/>
  <c r="B69" i="2"/>
  <c r="B8" i="2"/>
  <c r="C14" i="2"/>
  <c r="AB14" i="2"/>
  <c r="C15" i="2"/>
  <c r="AB15" i="2"/>
  <c r="C16" i="2"/>
  <c r="AB16" i="2"/>
  <c r="C17" i="2"/>
  <c r="AB17" i="2"/>
  <c r="C18" i="2"/>
  <c r="AB18" i="2"/>
  <c r="BB23" i="2"/>
  <c r="BE23" i="2"/>
  <c r="BB24" i="2"/>
  <c r="BE24" i="2"/>
  <c r="K25" i="2"/>
  <c r="BB25" i="2"/>
  <c r="BE25" i="2"/>
  <c r="K26" i="2"/>
  <c r="BB26" i="2"/>
  <c r="BE26" i="2"/>
  <c r="BB27" i="2"/>
  <c r="BE27" i="2"/>
  <c r="BB28" i="2"/>
  <c r="BE28" i="2"/>
  <c r="AG29" i="2"/>
  <c r="BB29" i="2"/>
  <c r="BE29" i="2"/>
  <c r="AG30" i="2"/>
  <c r="BB30" i="2"/>
  <c r="BE30" i="2"/>
  <c r="BB31" i="2"/>
  <c r="BE31" i="2"/>
  <c r="AG32" i="2"/>
  <c r="BB32" i="2"/>
  <c r="BE32" i="2"/>
  <c r="BB33" i="2"/>
  <c r="BE33" i="2"/>
  <c r="K34" i="2"/>
  <c r="AG34" i="2"/>
  <c r="BB34" i="2"/>
  <c r="BE34" i="2"/>
  <c r="B45" i="2"/>
  <c r="F45" i="2"/>
  <c r="B46" i="2"/>
  <c r="F46" i="2"/>
  <c r="B47" i="2"/>
  <c r="F47" i="2"/>
  <c r="B48" i="2"/>
  <c r="F48" i="2"/>
  <c r="B58" i="2"/>
  <c r="F58" i="2"/>
  <c r="B59" i="2"/>
  <c r="F59" i="2"/>
  <c r="B60" i="2"/>
  <c r="F60" i="2"/>
  <c r="B61" i="2"/>
  <c r="F61" i="2"/>
  <c r="AY74" i="2"/>
  <c r="BB74" i="2"/>
  <c r="BD74" i="2"/>
  <c r="AY78" i="2"/>
  <c r="BB78" i="2"/>
  <c r="BD78" i="2"/>
  <c r="AY82" i="2"/>
  <c r="BB82" i="2"/>
  <c r="BD82" i="2"/>
  <c r="AY86" i="2"/>
  <c r="BB86" i="2"/>
  <c r="BD86" i="2"/>
  <c r="AY90" i="2"/>
  <c r="BB90" i="2"/>
  <c r="BD90" i="2"/>
  <c r="AY94" i="2"/>
  <c r="BB94" i="2"/>
  <c r="BD94" i="2"/>
  <c r="AC14" i="1"/>
  <c r="AC70" i="1"/>
  <c r="AB71" i="2"/>
  <c r="H30" i="1"/>
  <c r="G25" i="2"/>
  <c r="G24" i="2"/>
  <c r="H31" i="1"/>
  <c r="G26" i="2"/>
  <c r="G27" i="2"/>
  <c r="H32" i="1"/>
  <c r="H33" i="1"/>
  <c r="G28" i="2"/>
  <c r="H34" i="1"/>
  <c r="G29" i="2"/>
  <c r="G30" i="2"/>
  <c r="H35" i="1"/>
  <c r="H36" i="1"/>
  <c r="G31" i="2"/>
  <c r="H37" i="1"/>
  <c r="G32" i="2"/>
  <c r="H38" i="1"/>
  <c r="G33" i="2"/>
  <c r="H70" i="1"/>
  <c r="G71" i="2"/>
  <c r="H14" i="1"/>
  <c r="E73" i="1"/>
  <c r="G34" i="2"/>
  <c r="D74" i="2"/>
  <c r="E77" i="1"/>
  <c r="D78" i="2"/>
  <c r="E81" i="1"/>
  <c r="E85" i="1"/>
  <c r="D82" i="2"/>
  <c r="E89" i="1"/>
  <c r="D86" i="2"/>
  <c r="E93" i="1"/>
  <c r="D94" i="2"/>
  <c r="D90" i="2"/>
  <c r="Q15" i="3"/>
  <c r="W15" i="3"/>
  <c r="Y13" i="3"/>
  <c r="E39" i="3"/>
  <c r="F35" i="3"/>
  <c r="E41" i="3"/>
  <c r="F25" i="3"/>
  <c r="E31" i="3"/>
  <c r="Q8" i="3"/>
  <c r="U4" i="3"/>
  <c r="F28" i="3"/>
  <c r="E34" i="3"/>
  <c r="F38" i="3"/>
  <c r="F44" i="3"/>
  <c r="E28" i="3"/>
  <c r="F34" i="3"/>
  <c r="AG23" i="2"/>
  <c r="F24" i="3"/>
  <c r="E30" i="3"/>
  <c r="Q7" i="3"/>
  <c r="T4" i="3"/>
  <c r="K27" i="2"/>
  <c r="L6" i="3"/>
  <c r="AO5" i="3"/>
  <c r="K5" i="3"/>
  <c r="AO6" i="3"/>
  <c r="K6" i="3"/>
  <c r="AO7" i="3"/>
  <c r="K7" i="3"/>
  <c r="AO8" i="3"/>
  <c r="K8" i="3"/>
  <c r="E5" i="3"/>
  <c r="D5" i="3"/>
  <c r="E6" i="3"/>
  <c r="D6" i="3"/>
  <c r="E7" i="3"/>
  <c r="D7" i="3"/>
  <c r="E8" i="3"/>
  <c r="D8" i="3"/>
  <c r="C5" i="3"/>
  <c r="C6" i="3"/>
  <c r="C7" i="3"/>
  <c r="C8" i="3"/>
  <c r="AT49" i="1"/>
  <c r="AT50" i="1"/>
  <c r="AT51" i="1"/>
  <c r="AT52" i="1"/>
  <c r="E11" i="3"/>
  <c r="M51" i="1"/>
  <c r="I85" i="1"/>
  <c r="L102" i="1"/>
  <c r="K104" i="2"/>
  <c r="E12" i="3"/>
  <c r="M52" i="1"/>
  <c r="I81" i="1"/>
  <c r="L105" i="1"/>
  <c r="K107" i="2"/>
  <c r="AO14" i="3"/>
  <c r="K14" i="3"/>
  <c r="AO15" i="3"/>
  <c r="K15" i="3"/>
  <c r="AO16" i="3"/>
  <c r="K16" i="3"/>
  <c r="AO17" i="3"/>
  <c r="K17" i="3"/>
  <c r="E14" i="3"/>
  <c r="D14" i="3"/>
  <c r="E15" i="3"/>
  <c r="D15" i="3"/>
  <c r="E16" i="3"/>
  <c r="D16" i="3"/>
  <c r="E17" i="3"/>
  <c r="D17" i="3"/>
  <c r="C14" i="3"/>
  <c r="AT62" i="1"/>
  <c r="C15" i="3"/>
  <c r="C16" i="3"/>
  <c r="C17" i="3"/>
  <c r="AT63" i="1"/>
  <c r="AT64" i="1"/>
  <c r="AT65" i="1"/>
  <c r="E18" i="3"/>
  <c r="M62" i="1"/>
  <c r="I77" i="1"/>
  <c r="AE93" i="1"/>
  <c r="AD94" i="2"/>
  <c r="E19" i="3"/>
  <c r="M63" i="1"/>
  <c r="AE73" i="1"/>
  <c r="E9" i="3"/>
  <c r="M49" i="1"/>
  <c r="I73" i="1"/>
  <c r="I89" i="1"/>
  <c r="H90" i="2"/>
  <c r="L98" i="1"/>
  <c r="K100" i="2"/>
  <c r="E20" i="3"/>
  <c r="M64" i="1"/>
  <c r="AE85" i="1"/>
  <c r="L103" i="1"/>
  <c r="K105" i="2"/>
  <c r="E10" i="3"/>
  <c r="M50" i="1"/>
  <c r="AE77" i="1"/>
  <c r="AE89" i="1"/>
  <c r="AD90" i="2"/>
  <c r="I93" i="1"/>
  <c r="H94" i="2"/>
  <c r="L101" i="1"/>
  <c r="K103" i="2"/>
  <c r="E21" i="3"/>
  <c r="M65" i="1"/>
  <c r="AE81" i="1"/>
  <c r="L104" i="1"/>
  <c r="K106" i="2"/>
  <c r="L100" i="1"/>
  <c r="K102" i="2"/>
  <c r="L99" i="1"/>
  <c r="K101" i="2"/>
  <c r="F43" i="3"/>
  <c r="S13" i="3"/>
  <c r="F37" i="3"/>
  <c r="E43" i="3"/>
  <c r="E36" i="3"/>
  <c r="I14" i="3"/>
  <c r="Q17" i="3"/>
  <c r="F40" i="3"/>
  <c r="E46" i="3"/>
  <c r="W7" i="3"/>
  <c r="Z4" i="3"/>
  <c r="Q5" i="3"/>
  <c r="W5" i="3"/>
  <c r="X4" i="3"/>
  <c r="M16" i="3"/>
  <c r="M8" i="3"/>
  <c r="W8" i="3"/>
  <c r="AA4" i="3"/>
  <c r="K31" i="2"/>
  <c r="H16" i="3"/>
  <c r="H8" i="3"/>
  <c r="G28" i="3"/>
  <c r="F23" i="3"/>
  <c r="E29" i="3"/>
  <c r="E32" i="3"/>
  <c r="F31" i="3"/>
  <c r="D25" i="3"/>
  <c r="E24" i="3"/>
  <c r="I24" i="3"/>
  <c r="E23" i="3"/>
  <c r="D23" i="3"/>
  <c r="W17" i="3"/>
  <c r="AA13" i="3"/>
  <c r="U13" i="3"/>
  <c r="F42" i="3"/>
  <c r="G23" i="3"/>
  <c r="F29" i="3"/>
  <c r="H23" i="3"/>
  <c r="D29" i="3"/>
  <c r="H29" i="3"/>
  <c r="G29" i="3"/>
  <c r="I29" i="3"/>
  <c r="D30" i="3"/>
  <c r="H30" i="3"/>
  <c r="D31" i="3"/>
  <c r="H31" i="3"/>
  <c r="G31" i="3"/>
  <c r="F33" i="3"/>
  <c r="H33" i="3"/>
  <c r="D27" i="3"/>
  <c r="G34" i="3"/>
  <c r="D34" i="3"/>
  <c r="D24" i="3"/>
  <c r="T5" i="3"/>
  <c r="I23" i="3"/>
  <c r="H6" i="3"/>
  <c r="E26" i="3"/>
  <c r="D28" i="3"/>
  <c r="F30" i="3"/>
  <c r="I30" i="3"/>
  <c r="R4" i="3"/>
  <c r="N6" i="3"/>
  <c r="I38" i="3"/>
  <c r="Q6" i="3"/>
  <c r="G8" i="3"/>
  <c r="G43" i="3"/>
  <c r="D39" i="3"/>
  <c r="F45" i="3"/>
  <c r="G39" i="3"/>
  <c r="H39" i="3"/>
  <c r="I39" i="3"/>
  <c r="J8" i="3"/>
  <c r="D37" i="3"/>
  <c r="I37" i="3"/>
  <c r="H37" i="3"/>
  <c r="G37" i="3"/>
  <c r="AG25" i="2"/>
  <c r="I28" i="3"/>
  <c r="N17" i="3"/>
  <c r="L15" i="3"/>
  <c r="H28" i="3"/>
  <c r="H27" i="3"/>
  <c r="I25" i="3"/>
  <c r="G33" i="3"/>
  <c r="I31" i="3"/>
  <c r="H24" i="3"/>
  <c r="N5" i="3"/>
  <c r="I5" i="3"/>
  <c r="I6" i="3"/>
  <c r="I27" i="3"/>
  <c r="G27" i="3"/>
  <c r="H25" i="3"/>
  <c r="O7" i="3"/>
  <c r="I17" i="3"/>
  <c r="O14" i="3"/>
  <c r="G15" i="3"/>
  <c r="H5" i="3"/>
  <c r="G5" i="3"/>
  <c r="H17" i="3"/>
  <c r="H15" i="3"/>
  <c r="M7" i="3"/>
  <c r="G7" i="3"/>
  <c r="L8" i="3"/>
  <c r="I8" i="3"/>
  <c r="L14" i="3"/>
  <c r="H34" i="3"/>
  <c r="L16" i="3"/>
  <c r="I35" i="3"/>
  <c r="M15" i="3"/>
  <c r="N15" i="3"/>
  <c r="I34" i="3"/>
  <c r="G25" i="3"/>
  <c r="G24" i="3"/>
  <c r="H14" i="3"/>
  <c r="N7" i="3"/>
  <c r="N8" i="3"/>
  <c r="N14" i="3"/>
  <c r="M17" i="3"/>
  <c r="O8" i="3"/>
  <c r="H43" i="3"/>
  <c r="I43" i="3"/>
  <c r="D43" i="3"/>
  <c r="H35" i="3"/>
  <c r="F41" i="3"/>
  <c r="G41" i="3"/>
  <c r="G35" i="3"/>
  <c r="D35" i="3"/>
  <c r="E40" i="3"/>
  <c r="I16" i="3"/>
  <c r="F36" i="3"/>
  <c r="G16" i="3"/>
  <c r="J16" i="3"/>
  <c r="Q16" i="3"/>
  <c r="O16" i="3"/>
  <c r="N16" i="3"/>
  <c r="H41" i="3"/>
  <c r="I41" i="3"/>
  <c r="D41" i="3"/>
  <c r="D38" i="3"/>
  <c r="H45" i="3"/>
  <c r="H36" i="3"/>
  <c r="G36" i="3"/>
  <c r="I36" i="3"/>
  <c r="H38" i="3"/>
  <c r="E44" i="3"/>
  <c r="G38" i="3"/>
  <c r="G17" i="3"/>
  <c r="M6" i="3"/>
  <c r="M5" i="3"/>
  <c r="M14" i="3"/>
  <c r="L7" i="3"/>
  <c r="L5" i="3"/>
  <c r="L9" i="3"/>
  <c r="I15" i="3"/>
  <c r="O17" i="3"/>
  <c r="L17" i="3"/>
  <c r="I7" i="3"/>
  <c r="K30" i="2"/>
  <c r="O6" i="3"/>
  <c r="H7" i="3"/>
  <c r="O5" i="3"/>
  <c r="G6" i="3"/>
  <c r="J6" i="3"/>
  <c r="O15" i="3"/>
  <c r="Q14" i="3"/>
  <c r="G14" i="3"/>
  <c r="J14" i="3"/>
  <c r="AC14" i="3"/>
  <c r="U6" i="3"/>
  <c r="U5" i="3"/>
  <c r="R8" i="3"/>
  <c r="AA5" i="3"/>
  <c r="H26" i="3"/>
  <c r="D26" i="3"/>
  <c r="R7" i="3"/>
  <c r="G26" i="3"/>
  <c r="F32" i="3"/>
  <c r="I33" i="3"/>
  <c r="AC16" i="3"/>
  <c r="I26" i="3"/>
  <c r="T6" i="3"/>
  <c r="U7" i="3"/>
  <c r="W6" i="3"/>
  <c r="Y4" i="3"/>
  <c r="R6" i="3"/>
  <c r="S4" i="3"/>
  <c r="G30" i="3"/>
  <c r="D33" i="3"/>
  <c r="J17" i="3"/>
  <c r="AC17" i="3"/>
  <c r="AC8" i="3"/>
  <c r="R13" i="3"/>
  <c r="W14" i="3"/>
  <c r="X13" i="3"/>
  <c r="E42" i="3"/>
  <c r="D36" i="3"/>
  <c r="I45" i="3"/>
  <c r="D45" i="3"/>
  <c r="G45" i="3"/>
  <c r="J7" i="3"/>
  <c r="J5" i="3"/>
  <c r="AC5" i="3"/>
  <c r="AC6" i="3"/>
  <c r="AC7" i="3"/>
  <c r="AD8" i="3"/>
  <c r="AE8" i="3"/>
  <c r="AG8" i="3"/>
  <c r="T8" i="3"/>
  <c r="Z8" i="3"/>
  <c r="X8" i="3"/>
  <c r="AH8" i="3"/>
  <c r="H44" i="3"/>
  <c r="I44" i="3"/>
  <c r="D44" i="3"/>
  <c r="G44" i="3"/>
  <c r="T13" i="3"/>
  <c r="W16" i="3"/>
  <c r="Z13" i="3"/>
  <c r="D40" i="3"/>
  <c r="G40" i="3"/>
  <c r="I40" i="3"/>
  <c r="H40" i="3"/>
  <c r="F46" i="3"/>
  <c r="L18" i="3"/>
  <c r="AD5" i="3"/>
  <c r="AD6" i="3"/>
  <c r="AD7" i="3"/>
  <c r="AD9" i="3"/>
  <c r="AE5" i="3"/>
  <c r="AG5" i="3"/>
  <c r="S5" i="3"/>
  <c r="Y5" i="3"/>
  <c r="AH5" i="3"/>
  <c r="AI5" i="3"/>
  <c r="AE6" i="3"/>
  <c r="AG6" i="3"/>
  <c r="X6" i="3"/>
  <c r="I32" i="3"/>
  <c r="S7" i="3"/>
  <c r="Z6" i="3"/>
  <c r="AH6" i="3"/>
  <c r="AI6" i="3"/>
  <c r="AE7" i="3"/>
  <c r="AG7" i="3"/>
  <c r="AA7" i="3"/>
  <c r="AH7" i="3"/>
  <c r="AI7" i="3"/>
  <c r="AI8" i="3"/>
  <c r="BF52" i="1"/>
  <c r="BI52" i="1"/>
  <c r="BK52" i="1"/>
  <c r="BJ48" i="2"/>
  <c r="AW49" i="1"/>
  <c r="AV45" i="2"/>
  <c r="BN50" i="1"/>
  <c r="BM46" i="2"/>
  <c r="BF51" i="1"/>
  <c r="BI51" i="1"/>
  <c r="BK51" i="1"/>
  <c r="BJ47" i="2"/>
  <c r="BF49" i="1"/>
  <c r="BI49" i="1"/>
  <c r="BK49" i="1"/>
  <c r="BJ45" i="2"/>
  <c r="K48" i="1"/>
  <c r="J44" i="2"/>
  <c r="AW50" i="1"/>
  <c r="AV46" i="2"/>
  <c r="BH50" i="1"/>
  <c r="BG46" i="2"/>
  <c r="BN52" i="1"/>
  <c r="BM48" i="2"/>
  <c r="K49" i="1"/>
  <c r="K50" i="1"/>
  <c r="J46" i="2"/>
  <c r="BH49" i="1"/>
  <c r="BG45" i="2"/>
  <c r="BN51" i="1"/>
  <c r="BM47" i="2"/>
  <c r="BF50" i="1"/>
  <c r="BE46" i="2"/>
  <c r="BC52" i="1"/>
  <c r="BB48" i="2"/>
  <c r="AW52" i="1"/>
  <c r="AV48" i="2"/>
  <c r="AS47" i="2"/>
  <c r="AS45" i="2"/>
  <c r="K51" i="1"/>
  <c r="J47" i="2"/>
  <c r="AZ52" i="1"/>
  <c r="AY48" i="2"/>
  <c r="J45" i="2"/>
  <c r="AZ50" i="1"/>
  <c r="AY46" i="2"/>
  <c r="BE45" i="2"/>
  <c r="BE48" i="2"/>
  <c r="AZ49" i="1"/>
  <c r="AY45" i="2"/>
  <c r="BH47" i="2"/>
  <c r="AS46" i="2"/>
  <c r="AZ51" i="1"/>
  <c r="AY47" i="2"/>
  <c r="AS48" i="2"/>
  <c r="K52" i="1"/>
  <c r="J48" i="2"/>
  <c r="BC51" i="1"/>
  <c r="BB47" i="2"/>
  <c r="BH48" i="2"/>
  <c r="BI50" i="1"/>
  <c r="BK50" i="1"/>
  <c r="BJ46" i="2"/>
  <c r="BC50" i="1"/>
  <c r="BB46" i="2"/>
  <c r="BH45" i="2"/>
  <c r="BN49" i="1"/>
  <c r="BM45" i="2"/>
  <c r="BH46" i="2"/>
  <c r="BH51" i="1"/>
  <c r="BG47" i="2"/>
  <c r="AW51" i="1"/>
  <c r="AV47" i="2"/>
  <c r="BC49" i="1"/>
  <c r="BB45" i="2"/>
  <c r="BE47" i="2"/>
  <c r="BH52" i="1"/>
  <c r="BG48" i="2"/>
  <c r="J15" i="3"/>
  <c r="AC15" i="3"/>
  <c r="X7" i="3"/>
  <c r="Z5" i="3"/>
  <c r="D32" i="3"/>
  <c r="T14" i="3"/>
  <c r="H32" i="3"/>
  <c r="G32" i="3"/>
  <c r="H82" i="2"/>
  <c r="AD15" i="3"/>
  <c r="AE15" i="3"/>
  <c r="AG15" i="3"/>
  <c r="AD14" i="3"/>
  <c r="AD16" i="3"/>
  <c r="AE16" i="3"/>
  <c r="AG16" i="3"/>
  <c r="AD78" i="2"/>
  <c r="T15" i="3"/>
  <c r="H86" i="2"/>
  <c r="R15" i="3"/>
  <c r="AK41" i="1"/>
  <c r="L46" i="2"/>
  <c r="AJ37" i="2"/>
  <c r="L47" i="2"/>
  <c r="AM37" i="2"/>
  <c r="AN41" i="1"/>
  <c r="AN50" i="1"/>
  <c r="AM46" i="2"/>
  <c r="BH62" i="1"/>
  <c r="BG58" i="2"/>
  <c r="AD17" i="3"/>
  <c r="AD18" i="3"/>
  <c r="AE14" i="3"/>
  <c r="AG14" i="3"/>
  <c r="S14" i="3"/>
  <c r="Y14" i="3"/>
  <c r="AH14" i="3"/>
  <c r="AI14" i="3"/>
  <c r="X15" i="3"/>
  <c r="AH15" i="3"/>
  <c r="AI15" i="3"/>
  <c r="U16" i="3"/>
  <c r="I46" i="3"/>
  <c r="T17" i="3"/>
  <c r="AA16" i="3"/>
  <c r="AH16" i="3"/>
  <c r="AI16" i="3"/>
  <c r="AE17" i="3"/>
  <c r="AG17" i="3"/>
  <c r="Z17" i="3"/>
  <c r="AH17" i="3"/>
  <c r="AI17" i="3"/>
  <c r="BI64" i="1"/>
  <c r="BH60" i="2"/>
  <c r="BI63" i="1"/>
  <c r="BH59" i="2"/>
  <c r="BH64" i="1"/>
  <c r="BG60" i="2"/>
  <c r="BC62" i="1"/>
  <c r="BB58" i="2"/>
  <c r="AZ63" i="1"/>
  <c r="AY59" i="2"/>
  <c r="BH63" i="1"/>
  <c r="BG59" i="2"/>
  <c r="BF62" i="1"/>
  <c r="BI62" i="1"/>
  <c r="BK62" i="1"/>
  <c r="BJ58" i="2"/>
  <c r="AZ64" i="1"/>
  <c r="AY60" i="2"/>
  <c r="BI65" i="1"/>
  <c r="BH61" i="2"/>
  <c r="BE58" i="2"/>
  <c r="K62" i="1"/>
  <c r="K63" i="1"/>
  <c r="K64" i="1"/>
  <c r="J60" i="2"/>
  <c r="BH65" i="1"/>
  <c r="BG61" i="2"/>
  <c r="AW65" i="1"/>
  <c r="AV61" i="2"/>
  <c r="BF63" i="1"/>
  <c r="BK63" i="1"/>
  <c r="BJ59" i="2"/>
  <c r="BC65" i="1"/>
  <c r="BB61" i="2"/>
  <c r="AS60" i="2"/>
  <c r="BF64" i="1"/>
  <c r="BK64" i="1"/>
  <c r="BJ60" i="2"/>
  <c r="BC64" i="1"/>
  <c r="BB60" i="2"/>
  <c r="AW64" i="1"/>
  <c r="AV60" i="2"/>
  <c r="BH58" i="2"/>
  <c r="AZ62" i="1"/>
  <c r="AY58" i="2"/>
  <c r="BN64" i="1"/>
  <c r="BM60" i="2"/>
  <c r="BE59" i="2"/>
  <c r="BF65" i="1"/>
  <c r="BK65" i="1"/>
  <c r="BJ61" i="2"/>
  <c r="AZ65" i="1"/>
  <c r="AY61" i="2"/>
  <c r="K61" i="1"/>
  <c r="J57" i="2"/>
  <c r="BE60" i="2"/>
  <c r="AW62" i="1"/>
  <c r="AV58" i="2"/>
  <c r="BE61" i="2"/>
  <c r="BC63" i="1"/>
  <c r="BB59" i="2"/>
  <c r="BN65" i="1"/>
  <c r="BM61" i="2"/>
  <c r="BN63" i="1"/>
  <c r="BM59" i="2"/>
  <c r="AS59" i="2"/>
  <c r="J59" i="2"/>
  <c r="BN62" i="1"/>
  <c r="BM58" i="2"/>
  <c r="AS61" i="2"/>
  <c r="AW63" i="1"/>
  <c r="AV59" i="2"/>
  <c r="K65" i="1"/>
  <c r="J61" i="2"/>
  <c r="J58" i="2"/>
  <c r="AS58" i="2"/>
  <c r="AH41" i="1"/>
  <c r="AH50" i="1"/>
  <c r="AG46" i="2"/>
  <c r="L45" i="2"/>
  <c r="AG37" i="2"/>
  <c r="AK49" i="1"/>
  <c r="AJ45" i="2"/>
  <c r="AN49" i="1"/>
  <c r="AM45" i="2"/>
  <c r="H46" i="3"/>
  <c r="D46" i="3"/>
  <c r="G46" i="3"/>
  <c r="H74" i="2"/>
  <c r="L48" i="2"/>
  <c r="AP37" i="2"/>
  <c r="AQ41" i="1"/>
  <c r="AQ50" i="1"/>
  <c r="AP46" i="2"/>
  <c r="I42" i="3"/>
  <c r="G42" i="3"/>
  <c r="D42" i="3"/>
  <c r="S17" i="3"/>
  <c r="H42" i="3"/>
  <c r="AK52" i="1"/>
  <c r="AJ48" i="2"/>
  <c r="U15" i="3"/>
  <c r="AA15" i="3"/>
  <c r="AH52" i="1"/>
  <c r="AG48" i="2"/>
  <c r="AK51" i="1"/>
  <c r="AJ47" i="2"/>
  <c r="S8" i="3"/>
  <c r="Y17" i="3"/>
  <c r="AN52" i="1"/>
  <c r="AM48" i="2"/>
  <c r="U14" i="3"/>
  <c r="R16" i="3"/>
  <c r="X16" i="3"/>
  <c r="AD86" i="2"/>
  <c r="L58" i="2"/>
  <c r="AG50" i="2"/>
  <c r="AH54" i="1"/>
  <c r="AH51" i="1"/>
  <c r="AG47" i="2"/>
  <c r="AQ49" i="1"/>
  <c r="AP45" i="2"/>
  <c r="AD82" i="2"/>
  <c r="AD74" i="2"/>
  <c r="AQ51" i="1"/>
  <c r="AP47" i="2"/>
  <c r="AK4" i="3"/>
  <c r="S16" i="3"/>
  <c r="Y16" i="3"/>
  <c r="AK13" i="3"/>
  <c r="AN54" i="1"/>
  <c r="AN62" i="1"/>
  <c r="AM58" i="2"/>
  <c r="L60" i="2"/>
  <c r="AM50" i="2"/>
  <c r="AH64" i="1"/>
  <c r="AG60" i="2"/>
  <c r="Z14" i="3"/>
  <c r="AQ54" i="1"/>
  <c r="AQ62" i="1"/>
  <c r="AP58" i="2"/>
  <c r="L61" i="2"/>
  <c r="AP50" i="2"/>
  <c r="AH65" i="1"/>
  <c r="AG61" i="2"/>
  <c r="AN65" i="1"/>
  <c r="AM61" i="2"/>
  <c r="AN63" i="1"/>
  <c r="AM59" i="2"/>
  <c r="AH63" i="1"/>
  <c r="AG59" i="2"/>
  <c r="L59" i="2"/>
  <c r="AJ50" i="2"/>
  <c r="AK54" i="1"/>
  <c r="AK62" i="1"/>
  <c r="AJ58" i="2"/>
  <c r="H78" i="2"/>
  <c r="R17" i="3"/>
  <c r="Y7" i="3"/>
  <c r="Y8" i="3"/>
  <c r="AA6" i="3"/>
  <c r="AQ63" i="1"/>
  <c r="AP59" i="2"/>
  <c r="AK64" i="1"/>
  <c r="AJ60" i="2"/>
  <c r="AK65" i="1"/>
  <c r="AJ61" i="2"/>
  <c r="AQ64" i="1"/>
  <c r="AP60" i="2"/>
  <c r="Z15" i="3"/>
  <c r="X17" i="3"/>
  <c r="AA14" i="3"/>
  <c r="AQ13" i="3"/>
  <c r="AQ4" i="3"/>
  <c r="AT8" i="3"/>
  <c r="AS8" i="3"/>
  <c r="AT6" i="3"/>
  <c r="AS5" i="3"/>
  <c r="AR5" i="3"/>
  <c r="AR7" i="3"/>
  <c r="AR8" i="3"/>
  <c r="AR6" i="3"/>
  <c r="AT7" i="3"/>
  <c r="AS6" i="3"/>
  <c r="AS7" i="3"/>
  <c r="AV4" i="3"/>
  <c r="AT5" i="3"/>
  <c r="AS17" i="3"/>
  <c r="AT16" i="3"/>
  <c r="AS14" i="3"/>
  <c r="AS15" i="3"/>
  <c r="AR15" i="3"/>
  <c r="AR14" i="3"/>
  <c r="AT17" i="3"/>
  <c r="AT15" i="3"/>
  <c r="AV13" i="3"/>
  <c r="AT14" i="3"/>
  <c r="AS16" i="3"/>
  <c r="AR16" i="3"/>
  <c r="AR17" i="3"/>
  <c r="AW17" i="3"/>
  <c r="AL17" i="3"/>
  <c r="AY16" i="3"/>
  <c r="AN16" i="3"/>
  <c r="AY15" i="3"/>
  <c r="AN15" i="3"/>
  <c r="AW15" i="3"/>
  <c r="AL15" i="3"/>
  <c r="AY17" i="3"/>
  <c r="AN17" i="3"/>
  <c r="AX16" i="3"/>
  <c r="AM16" i="3"/>
  <c r="AW14" i="3"/>
  <c r="AL14" i="3"/>
  <c r="AX17" i="3"/>
  <c r="AM17" i="3"/>
  <c r="AY14" i="3"/>
  <c r="AN14" i="3"/>
  <c r="AX15" i="3"/>
  <c r="AM15" i="3"/>
  <c r="AX14" i="3"/>
  <c r="AM14" i="3"/>
  <c r="AW16" i="3"/>
  <c r="AL16" i="3"/>
  <c r="AW6" i="3"/>
  <c r="AL6" i="3"/>
  <c r="AX6" i="3"/>
  <c r="AM6" i="3"/>
  <c r="AY6" i="3"/>
  <c r="AN6" i="3"/>
  <c r="AX5" i="3"/>
  <c r="AM5" i="3"/>
  <c r="AW8" i="3"/>
  <c r="AL8" i="3"/>
  <c r="AW7" i="3"/>
  <c r="AL7" i="3"/>
  <c r="AY8" i="3"/>
  <c r="AN8" i="3"/>
  <c r="AW5" i="3"/>
  <c r="AL5" i="3"/>
  <c r="AY7" i="3"/>
  <c r="AN7" i="3"/>
  <c r="AY5" i="3"/>
  <c r="AN5" i="3"/>
  <c r="AX7" i="3"/>
  <c r="AM7" i="3"/>
  <c r="AX8" i="3"/>
  <c r="AM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</author>
  </authors>
  <commentList>
    <comment ref="C48" authorId="0" shapeId="0" xr:uid="{7C6136F6-A16E-45D3-BEA9-3CF3EED6E74C}">
      <text>
        <r>
          <rPr>
            <sz val="9"/>
            <color indexed="81"/>
            <rFont val="Arial"/>
            <family val="2"/>
          </rPr>
          <t>z.B.: n.N.  (für nach 9 Meter schießen)
n.E.  (nach 11 Meter schießen)</t>
        </r>
      </text>
    </comment>
    <comment ref="C61" authorId="0" shapeId="0" xr:uid="{5D4190ED-0740-4245-A04D-4E071A57BA55}">
      <text>
        <r>
          <rPr>
            <sz val="9"/>
            <color indexed="81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<sst xmlns="http://schemas.openxmlformats.org/spreadsheetml/2006/main" count="293" uniqueCount="90">
  <si>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</si>
  <si>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</si>
  <si>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</si>
  <si>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</si>
  <si>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</si>
  <si>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</si>
  <si>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</si>
  <si>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</si>
  <si>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</si>
  <si>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</si>
  <si>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</si>
  <si>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</si>
  <si>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</si>
  <si>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</si>
  <si>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</si>
  <si>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</si>
  <si>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</si>
  <si>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</si>
  <si>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</si>
  <si>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</si>
  <si>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</si>
  <si>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</si>
  <si>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</si>
  <si>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</si>
  <si>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</si>
  <si>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</si>
  <si>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</si>
  <si>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</si>
  <si>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</si>
  <si>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</si>
  <si>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</si>
  <si>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</si>
  <si>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</si>
  <si>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</si>
  <si>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</si>
  <si>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</si>
  <si>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</si>
  <si>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</si>
  <si>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</si>
  <si>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</si>
  <si>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</si>
  <si>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</si>
  <si>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</si>
  <si>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</si>
  <si>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</si>
  <si>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</si>
  <si>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</si>
  <si>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</si>
  <si>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</si>
  <si>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</si>
  <si>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</si>
  <si>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</si>
  <si>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</si>
  <si>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</si>
  <si>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</si>
  <si>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</si>
  <si>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</si>
  <si>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</si>
  <si>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</si>
  <si>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</si>
  <si>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</si>
  <si>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</si>
  <si>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</si>
  <si>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</si>
  <si>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</si>
  <si>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</si>
  <si>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</rPr>
      <t>Anzahl Punkte aus allen Gruppenspielen</t>
    </r>
  </si>
  <si>
    <r>
      <t xml:space="preserve">b) </t>
    </r>
    <r>
      <rPr>
        <sz val="10"/>
        <color indexed="8"/>
        <rFont val="Arial"/>
      </rPr>
      <t>Tordifferenz aus allen Gruppenspielen</t>
    </r>
  </si>
  <si>
    <r>
      <t xml:space="preserve">c) </t>
    </r>
    <r>
      <rPr>
        <sz val="10"/>
        <color indexed="8"/>
        <rFont val="Arial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</si>
  <si>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</si>
  <si>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</si>
  <si>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</si>
  <si>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</si>
  <si>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</rPr>
      <t xml:space="preserve"> Losentscheid durch die Turnierleitung</t>
    </r>
  </si>
  <si>
    <t>s</t>
  </si>
  <si>
    <t>Gleichstand liegt vor</t>
  </si>
  <si>
    <t>Tore +</t>
  </si>
  <si>
    <t>Tabellen Vorrunde</t>
  </si>
  <si>
    <t>SBFV</t>
  </si>
  <si>
    <t>FC 08 Villingen</t>
  </si>
  <si>
    <t>SV 08 Kuppenheim</t>
  </si>
  <si>
    <t>D-Juniorenmeisterschaft 2024</t>
  </si>
  <si>
    <t>in Bräunlingen</t>
  </si>
  <si>
    <t>SSC Donaueschingen</t>
  </si>
  <si>
    <t>FC Pfaffenweiler</t>
  </si>
  <si>
    <t>Offenburger FV</t>
  </si>
  <si>
    <t>SC Pfullendorf</t>
  </si>
  <si>
    <t>S</t>
  </si>
  <si>
    <t>SF Eintracht Freiburg</t>
  </si>
  <si>
    <t>FV Lörrach-Brombach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</si>
</sst>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h:mm;@"/>
    <numFmt numFmtId="165" formatCode="0_ ;[Red]\-0\ "/>
    <numFmt numFmtId="166" formatCode="0&quot;.&quot;"/>
    <numFmt numFmtId="167" formatCode="0\ &quot;:&quot;"/>
    <numFmt numFmtId="168" formatCode=";;;"/>
    <numFmt numFmtId="169" formatCode="0\ &quot;min&quot;"/>
    <numFmt numFmtId="170" formatCode="0;;\ &quot;min&quot;"/>
    <numFmt numFmtId="171" formatCode="&quot;Am&quot;\ dddd\,\ dd/\ mmmm\ yyyy"/>
    <numFmt numFmtId="172" formatCode="[=0]&quot;&quot;;0\ &quot;min&quot;"/>
    <numFmt numFmtId="173" formatCode="0.0"/>
    <numFmt numFmtId="174" formatCode="0.00000"/>
  </numFmts>
  <fonts count="45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10"/>
      <name val="Arial"/>
    </font>
    <font>
      <sz val="10"/>
      <color indexed="9"/>
      <name val="Arial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</font>
    <font>
      <sz val="12"/>
      <color indexed="10"/>
      <name val="Arial"/>
    </font>
    <font>
      <sz val="12"/>
      <color indexed="9"/>
      <name val="Arial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</font>
    <font>
      <sz val="11"/>
      <name val="Arial"/>
    </font>
    <font>
      <sz val="11"/>
      <color indexed="10"/>
      <name val="Arial"/>
    </font>
    <font>
      <sz val="11"/>
      <color indexed="9"/>
      <name val="Arial"/>
    </font>
    <font>
      <b/>
      <sz val="11"/>
      <color indexed="8"/>
      <name val="Arial"/>
    </font>
    <font>
      <b/>
      <sz val="11"/>
      <color indexed="9"/>
      <name val="Arial"/>
    </font>
    <font>
      <b/>
      <sz val="11"/>
      <color indexed="10"/>
      <name val="Arial"/>
    </font>
    <font>
      <b/>
      <u/>
      <sz val="11"/>
      <name val="Arial"/>
    </font>
    <font>
      <sz val="12"/>
      <name val="Arial"/>
      <family val="2"/>
    </font>
    <font>
      <sz val="11"/>
      <color indexed="23"/>
      <name val="Arial"/>
    </font>
    <font>
      <sz val="11"/>
      <color indexed="63"/>
      <name val="Arial"/>
    </font>
    <font>
      <b/>
      <sz val="14"/>
      <name val="Arial"/>
      <family val="2"/>
    </font>
    <font>
      <sz val="10"/>
      <color indexed="8"/>
      <name val="Arial"/>
    </font>
    <font>
      <sz val="9"/>
      <color indexed="8"/>
      <name val="Arial"/>
    </font>
    <font>
      <b/>
      <sz val="11"/>
      <color indexed="8"/>
      <name val="Arial"/>
      <family val="2"/>
    </font>
    <font>
      <sz val="9"/>
      <color indexed="81"/>
      <name val="Arial"/>
      <family val="2"/>
    </font>
    <font>
      <sz val="11"/>
      <color indexed="22"/>
      <name val="Comic Sans MS"/>
      <family val="4"/>
    </font>
    <font>
      <b/>
      <u/>
      <sz val="12"/>
      <name val="Arial"/>
    </font>
    <font>
      <b/>
      <sz val="12"/>
      <name val="Arial"/>
    </font>
    <font>
      <sz val="12"/>
      <color indexed="23"/>
      <name val="Arial"/>
    </font>
    <font>
      <b/>
      <sz val="12"/>
      <color indexed="8"/>
      <name val="Arial"/>
      <family val="2"/>
    </font>
    <font>
      <sz val="12"/>
      <color indexed="63"/>
      <name val="Arial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</font>
    <font>
      <b/>
      <sz val="10"/>
      <name val="Arial"/>
      <family val="2"/>
    </font>
    <font>
      <b/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2" borderId="0"/>
  </cellStyleXfs>
  <cellXfs count="64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71" fontId="13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70" fontId="16" fillId="0" borderId="0" xfId="0" applyNumberFormat="1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NumberFormat="1" applyFont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Alignment="1" applyProtection="1">
      <alignment vertical="center"/>
      <protection hidden="1"/>
    </xf>
    <xf numFmtId="0" fontId="28" fillId="0" borderId="0" xfId="0" applyNumberFormat="1" applyFont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70" fontId="14" fillId="0" borderId="0" xfId="0" applyNumberFormat="1" applyFont="1" applyAlignment="1" applyProtection="1">
      <alignment vertical="center"/>
      <protection hidden="1"/>
    </xf>
    <xf numFmtId="170" fontId="15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20" fontId="13" fillId="0" borderId="0" xfId="0" applyNumberFormat="1" applyFont="1" applyBorder="1" applyAlignment="1" applyProtection="1">
      <alignment horizontal="center" vertical="center"/>
      <protection hidden="1"/>
    </xf>
    <xf numFmtId="169" fontId="13" fillId="0" borderId="0" xfId="0" applyNumberFormat="1" applyFont="1" applyBorder="1" applyAlignment="1" applyProtection="1">
      <alignment horizontal="left" vertical="center"/>
      <protection hidden="1"/>
    </xf>
    <xf numFmtId="169" fontId="13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68" fontId="10" fillId="0" borderId="0" xfId="0" applyNumberFormat="1" applyFont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24" fillId="0" borderId="1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shrinkToFit="1"/>
      <protection hidden="1"/>
    </xf>
    <xf numFmtId="0" fontId="9" fillId="0" borderId="4" xfId="0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6" fontId="24" fillId="0" borderId="0" xfId="0" applyNumberFormat="1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left" vertical="center" shrinkToFit="1"/>
      <protection hidden="1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1" fontId="24" fillId="0" borderId="0" xfId="0" applyNumberFormat="1" applyFont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66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1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71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9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170" fontId="38" fillId="0" borderId="0" xfId="0" applyNumberFormat="1" applyFont="1" applyAlignment="1" applyProtection="1">
      <alignment vertical="center"/>
      <protection hidden="1"/>
    </xf>
    <xf numFmtId="170" fontId="39" fillId="0" borderId="0" xfId="0" applyNumberFormat="1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7" fillId="0" borderId="3" xfId="0" applyFont="1" applyFill="1" applyBorder="1" applyAlignment="1" applyProtection="1">
      <alignment horizontal="center" vertical="center" shrinkToFit="1"/>
      <protection hidden="1"/>
    </xf>
    <xf numFmtId="0" fontId="24" fillId="0" borderId="2" xfId="0" applyFont="1" applyFill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167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68" fontId="17" fillId="0" borderId="0" xfId="0" applyNumberFormat="1" applyFont="1" applyAlignment="1" applyProtection="1">
      <alignment vertical="center"/>
      <protection hidden="1"/>
    </xf>
    <xf numFmtId="0" fontId="16" fillId="0" borderId="1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2" xfId="0" applyFont="1" applyFill="1" applyBorder="1" applyAlignment="1" applyProtection="1">
      <alignment horizontal="center" vertical="center" shrinkToFit="1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2" xfId="0" applyFont="1" applyBorder="1" applyAlignment="1" applyProtection="1">
      <alignment horizontal="center" vertical="center" shrinkToFit="1"/>
      <protection hidden="1"/>
    </xf>
    <xf numFmtId="0" fontId="17" fillId="0" borderId="4" xfId="0" applyFont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7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40" fillId="0" borderId="0" xfId="0" applyNumberFormat="1" applyFont="1" applyBorder="1" applyAlignment="1" applyProtection="1">
      <alignment vertical="center"/>
      <protection hidden="1"/>
    </xf>
    <xf numFmtId="0" fontId="40" fillId="0" borderId="0" xfId="0" applyNumberFormat="1" applyFont="1" applyBorder="1" applyAlignment="1" applyProtection="1">
      <alignment horizontal="left"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 applyProtection="1">
      <alignment horizontal="justify" vertical="center"/>
      <protection hidden="1"/>
    </xf>
    <xf numFmtId="0" fontId="28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4" fillId="0" borderId="6" xfId="1" applyFont="1" applyFill="1" applyBorder="1" applyAlignment="1" applyProtection="1">
      <alignment horizontal="center" vertical="center"/>
    </xf>
    <xf numFmtId="0" fontId="44" fillId="0" borderId="6" xfId="1" applyFont="1" applyFill="1" applyBorder="1" applyAlignment="1" applyProtection="1">
      <alignment horizontal="center" textRotation="90"/>
    </xf>
    <xf numFmtId="0" fontId="44" fillId="0" borderId="0" xfId="0" applyFont="1" applyFill="1" applyAlignment="1" applyProtection="1">
      <alignment vertical="center"/>
      <protection hidden="1"/>
    </xf>
    <xf numFmtId="0" fontId="44" fillId="0" borderId="0" xfId="1" applyFont="1" applyFill="1" applyBorder="1" applyAlignment="1" applyProtection="1">
      <alignment horizontal="center" textRotation="90"/>
    </xf>
    <xf numFmtId="0" fontId="44" fillId="0" borderId="0" xfId="1" applyFont="1" applyFill="1" applyBorder="1" applyProtection="1"/>
    <xf numFmtId="0" fontId="44" fillId="0" borderId="0" xfId="1" applyFont="1" applyFill="1" applyBorder="1" applyAlignment="1" applyProtection="1"/>
    <xf numFmtId="0" fontId="44" fillId="0" borderId="6" xfId="1" applyFont="1" applyFill="1" applyBorder="1" applyProtection="1"/>
    <xf numFmtId="0" fontId="0" fillId="0" borderId="0" xfId="0" applyFill="1" applyAlignment="1" applyProtection="1">
      <alignment vertical="center"/>
      <protection hidden="1"/>
    </xf>
    <xf numFmtId="0" fontId="44" fillId="0" borderId="0" xfId="1" applyFont="1" applyFill="1" applyProtection="1"/>
    <xf numFmtId="0" fontId="0" fillId="0" borderId="6" xfId="0" applyBorder="1"/>
    <xf numFmtId="0" fontId="44" fillId="0" borderId="7" xfId="1" applyFont="1" applyFill="1" applyBorder="1" applyAlignment="1" applyProtection="1">
      <alignment horizontal="left"/>
    </xf>
    <xf numFmtId="0" fontId="44" fillId="3" borderId="6" xfId="1" applyFont="1" applyFill="1" applyBorder="1" applyAlignment="1" applyProtection="1">
      <alignment horizontal="center"/>
    </xf>
    <xf numFmtId="0" fontId="44" fillId="0" borderId="6" xfId="1" applyFont="1" applyFill="1" applyBorder="1" applyAlignment="1" applyProtection="1">
      <alignment horizontal="center"/>
    </xf>
    <xf numFmtId="0" fontId="44" fillId="0" borderId="7" xfId="1" applyFont="1" applyFill="1" applyBorder="1" applyProtection="1"/>
    <xf numFmtId="0" fontId="44" fillId="0" borderId="6" xfId="1" applyFont="1" applyFill="1" applyBorder="1" applyAlignment="1" applyProtection="1"/>
    <xf numFmtId="173" fontId="44" fillId="0" borderId="6" xfId="1" applyNumberFormat="1" applyFont="1" applyFill="1" applyBorder="1" applyProtection="1"/>
    <xf numFmtId="0" fontId="44" fillId="0" borderId="0" xfId="1" applyFont="1" applyFill="1" applyBorder="1" applyAlignment="1" applyProtection="1">
      <alignment horizontal="center"/>
    </xf>
    <xf numFmtId="174" fontId="44" fillId="0" borderId="6" xfId="1" applyNumberFormat="1" applyFont="1" applyFill="1" applyBorder="1" applyProtection="1"/>
    <xf numFmtId="1" fontId="44" fillId="0" borderId="0" xfId="1" applyNumberFormat="1" applyFont="1" applyFill="1" applyBorder="1" applyProtection="1"/>
    <xf numFmtId="0" fontId="44" fillId="0" borderId="8" xfId="1" applyFont="1" applyFill="1" applyBorder="1" applyAlignment="1" applyProtection="1">
      <alignment horizontal="left"/>
    </xf>
    <xf numFmtId="0" fontId="44" fillId="0" borderId="8" xfId="1" applyFont="1" applyFill="1" applyBorder="1" applyProtection="1"/>
    <xf numFmtId="0" fontId="44" fillId="0" borderId="8" xfId="1" applyFont="1" applyFill="1" applyBorder="1" applyAlignment="1" applyProtection="1">
      <alignment horizontal="right"/>
    </xf>
    <xf numFmtId="0" fontId="44" fillId="0" borderId="6" xfId="1" applyFont="1" applyFill="1" applyBorder="1" applyAlignment="1" applyProtection="1">
      <alignment horizontal="left"/>
    </xf>
    <xf numFmtId="0" fontId="44" fillId="0" borderId="9" xfId="1" applyFont="1" applyFill="1" applyBorder="1" applyAlignment="1" applyProtection="1">
      <alignment horizontal="left"/>
    </xf>
    <xf numFmtId="0" fontId="44" fillId="0" borderId="9" xfId="1" applyFont="1" applyFill="1" applyBorder="1" applyProtection="1"/>
    <xf numFmtId="0" fontId="44" fillId="0" borderId="10" xfId="1" applyFont="1" applyFill="1" applyBorder="1" applyAlignment="1" applyProtection="1">
      <alignment horizontal="right"/>
    </xf>
    <xf numFmtId="0" fontId="44" fillId="0" borderId="6" xfId="0" applyFont="1" applyFill="1" applyBorder="1" applyAlignment="1" applyProtection="1">
      <protection hidden="1"/>
    </xf>
    <xf numFmtId="0" fontId="44" fillId="0" borderId="0" xfId="1" applyFont="1" applyFill="1" applyAlignment="1" applyProtection="1">
      <alignment textRotation="90"/>
    </xf>
    <xf numFmtId="174" fontId="29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6" fillId="0" borderId="56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/>
      <protection hidden="1"/>
    </xf>
    <xf numFmtId="169" fontId="13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57" xfId="0" applyFont="1" applyBorder="1" applyAlignment="1" applyProtection="1">
      <alignment horizontal="center" vertical="center"/>
      <protection hidden="1"/>
    </xf>
    <xf numFmtId="2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69" fontId="13" fillId="0" borderId="0" xfId="0" applyNumberFormat="1" applyFont="1" applyBorder="1" applyAlignment="1" applyProtection="1">
      <alignment horizontal="left" vertical="center"/>
      <protection locked="0"/>
    </xf>
    <xf numFmtId="0" fontId="16" fillId="3" borderId="24" xfId="0" applyFont="1" applyFill="1" applyBorder="1" applyAlignment="1" applyProtection="1">
      <alignment horizontal="center" vertical="center"/>
      <protection hidden="1"/>
    </xf>
    <xf numFmtId="0" fontId="16" fillId="3" borderId="19" xfId="0" applyFont="1" applyFill="1" applyBorder="1" applyAlignment="1" applyProtection="1">
      <alignment horizontal="center" vertical="center"/>
      <protection hidden="1"/>
    </xf>
    <xf numFmtId="0" fontId="16" fillId="3" borderId="68" xfId="0" applyFont="1" applyFill="1" applyBorder="1" applyAlignment="1" applyProtection="1">
      <alignment horizontal="center" vertical="center"/>
      <protection hidden="1"/>
    </xf>
    <xf numFmtId="169" fontId="16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6" fillId="0" borderId="21" xfId="0" applyFont="1" applyBorder="1" applyAlignment="1" applyProtection="1">
      <alignment horizontal="left" vertical="center" shrinkToFit="1"/>
      <protection hidden="1"/>
    </xf>
    <xf numFmtId="0" fontId="16" fillId="0" borderId="3" xfId="0" applyFont="1" applyBorder="1" applyAlignment="1" applyProtection="1">
      <alignment horizontal="left" vertical="center" shrinkToFit="1"/>
      <protection hidden="1"/>
    </xf>
    <xf numFmtId="0" fontId="16" fillId="0" borderId="17" xfId="0" applyFont="1" applyBorder="1" applyAlignment="1" applyProtection="1">
      <alignment horizontal="left" vertical="center" shrinkToFit="1"/>
      <protection hidden="1"/>
    </xf>
    <xf numFmtId="0" fontId="16" fillId="0" borderId="10" xfId="0" applyFont="1" applyBorder="1" applyAlignment="1" applyProtection="1">
      <alignment horizontal="left" vertical="center" shrinkToFit="1"/>
      <protection hidden="1"/>
    </xf>
    <xf numFmtId="0" fontId="16" fillId="0" borderId="4" xfId="0" applyFont="1" applyBorder="1" applyAlignment="1" applyProtection="1">
      <alignment horizontal="left" vertical="center" shrinkToFit="1"/>
      <protection hidden="1"/>
    </xf>
    <xf numFmtId="0" fontId="16" fillId="0" borderId="13" xfId="0" applyFont="1" applyBorder="1" applyAlignment="1" applyProtection="1">
      <alignment horizontal="left" vertical="center" shrinkToFit="1"/>
      <protection hidden="1"/>
    </xf>
    <xf numFmtId="0" fontId="16" fillId="0" borderId="66" xfId="0" applyFont="1" applyBorder="1" applyAlignment="1" applyProtection="1">
      <alignment horizontal="left" vertical="center" shrinkToFit="1"/>
      <protection hidden="1"/>
    </xf>
    <xf numFmtId="0" fontId="16" fillId="0" borderId="2" xfId="0" applyFont="1" applyBorder="1" applyAlignment="1" applyProtection="1">
      <alignment horizontal="left" vertical="center" shrinkToFit="1"/>
      <protection hidden="1"/>
    </xf>
    <xf numFmtId="0" fontId="16" fillId="0" borderId="15" xfId="0" applyFont="1" applyBorder="1" applyAlignment="1" applyProtection="1">
      <alignment horizontal="left" vertical="center" shrinkToFit="1"/>
      <protection hidden="1"/>
    </xf>
    <xf numFmtId="0" fontId="16" fillId="7" borderId="23" xfId="0" applyFont="1" applyFill="1" applyBorder="1" applyAlignment="1" applyProtection="1">
      <alignment horizontal="center" vertical="center"/>
      <protection hidden="1"/>
    </xf>
    <xf numFmtId="0" fontId="16" fillId="7" borderId="24" xfId="0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0" borderId="3" xfId="0" applyFont="1" applyFill="1" applyBorder="1" applyAlignment="1" applyProtection="1">
      <alignment horizontal="left" vertical="center" shrinkToFit="1"/>
      <protection hidden="1"/>
    </xf>
    <xf numFmtId="0" fontId="17" fillId="0" borderId="22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167" fontId="17" fillId="0" borderId="21" xfId="0" applyNumberFormat="1" applyFont="1" applyFill="1" applyBorder="1" applyAlignment="1" applyProtection="1">
      <alignment horizontal="right" vertical="center" shrinkToFit="1"/>
      <protection locked="0"/>
    </xf>
    <xf numFmtId="167" fontId="17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172" fontId="16" fillId="0" borderId="0" xfId="0" applyNumberFormat="1" applyFont="1" applyBorder="1" applyAlignment="1" applyProtection="1">
      <alignment horizontal="left" vertical="center"/>
      <protection hidden="1"/>
    </xf>
    <xf numFmtId="167" fontId="17" fillId="0" borderId="22" xfId="0" applyNumberFormat="1" applyFont="1" applyFill="1" applyBorder="1" applyAlignment="1" applyProtection="1">
      <alignment horizontal="right" vertical="center" shrinkToFit="1"/>
      <protection locked="0"/>
    </xf>
    <xf numFmtId="167" fontId="17" fillId="0" borderId="11" xfId="0" applyNumberFormat="1" applyFont="1" applyFill="1" applyBorder="1" applyAlignment="1" applyProtection="1">
      <alignment horizontal="right" vertical="center" shrinkToFit="1"/>
      <protection locked="0"/>
    </xf>
    <xf numFmtId="167" fontId="16" fillId="8" borderId="48" xfId="0" applyNumberFormat="1" applyFont="1" applyFill="1" applyBorder="1" applyAlignment="1" applyProtection="1">
      <alignment horizontal="center" vertical="center"/>
      <protection hidden="1"/>
    </xf>
    <xf numFmtId="167" fontId="16" fillId="8" borderId="21" xfId="0" applyNumberFormat="1" applyFont="1" applyFill="1" applyBorder="1" applyAlignment="1" applyProtection="1">
      <alignment horizontal="center" vertical="center"/>
      <protection hidden="1"/>
    </xf>
    <xf numFmtId="0" fontId="26" fillId="0" borderId="62" xfId="0" applyFont="1" applyBorder="1" applyAlignment="1" applyProtection="1">
      <alignment horizontal="center" vertical="center"/>
      <protection hidden="1"/>
    </xf>
    <xf numFmtId="0" fontId="26" fillId="0" borderId="63" xfId="0" applyFont="1" applyBorder="1" applyAlignment="1" applyProtection="1">
      <alignment horizontal="center" vertical="center"/>
      <protection hidden="1"/>
    </xf>
    <xf numFmtId="0" fontId="26" fillId="0" borderId="64" xfId="0" applyFont="1" applyBorder="1" applyAlignment="1" applyProtection="1">
      <alignment horizontal="center" vertical="center"/>
      <protection hidden="1"/>
    </xf>
    <xf numFmtId="0" fontId="16" fillId="6" borderId="18" xfId="0" applyFont="1" applyFill="1" applyBorder="1" applyAlignment="1" applyProtection="1">
      <alignment horizontal="center" vertical="center"/>
      <protection hidden="1"/>
    </xf>
    <xf numFmtId="0" fontId="16" fillId="6" borderId="19" xfId="0" applyFont="1" applyFill="1" applyBorder="1" applyAlignment="1" applyProtection="1">
      <alignment horizontal="center" vertical="center"/>
      <protection hidden="1"/>
    </xf>
    <xf numFmtId="0" fontId="16" fillId="6" borderId="20" xfId="0" applyFont="1" applyFill="1" applyBorder="1" applyAlignment="1" applyProtection="1">
      <alignment horizontal="center" vertical="center"/>
      <protection hidden="1"/>
    </xf>
    <xf numFmtId="0" fontId="16" fillId="0" borderId="53" xfId="0" applyFont="1" applyFill="1" applyBorder="1" applyAlignment="1" applyProtection="1">
      <alignment horizontal="center" vertical="center"/>
      <protection hidden="1"/>
    </xf>
    <xf numFmtId="0" fontId="16" fillId="0" borderId="37" xfId="0" applyFont="1" applyFill="1" applyBorder="1" applyAlignment="1" applyProtection="1">
      <alignment horizontal="center" vertical="center"/>
      <protection hidden="1"/>
    </xf>
    <xf numFmtId="0" fontId="16" fillId="0" borderId="55" xfId="0" applyFont="1" applyFill="1" applyBorder="1" applyAlignment="1" applyProtection="1">
      <alignment horizontal="center" vertical="center"/>
      <protection hidden="1"/>
    </xf>
    <xf numFmtId="0" fontId="16" fillId="0" borderId="40" xfId="0" applyFont="1" applyFill="1" applyBorder="1" applyAlignment="1" applyProtection="1">
      <alignment horizontal="center" vertical="center"/>
      <protection hidden="1"/>
    </xf>
    <xf numFmtId="164" fontId="16" fillId="0" borderId="37" xfId="0" applyNumberFormat="1" applyFont="1" applyFill="1" applyBorder="1" applyAlignment="1" applyProtection="1">
      <alignment horizontal="center" vertical="center"/>
      <protection hidden="1"/>
    </xf>
    <xf numFmtId="164" fontId="16" fillId="0" borderId="40" xfId="0" applyNumberFormat="1" applyFont="1" applyFill="1" applyBorder="1" applyAlignment="1" applyProtection="1">
      <alignment horizontal="center" vertical="center"/>
      <protection hidden="1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56" xfId="0" applyFont="1" applyBorder="1" applyAlignment="1" applyProtection="1">
      <alignment horizontal="center" vertical="center"/>
      <protection hidden="1"/>
    </xf>
    <xf numFmtId="166" fontId="17" fillId="0" borderId="12" xfId="0" applyNumberFormat="1" applyFont="1" applyBorder="1" applyAlignment="1" applyProtection="1">
      <alignment horizontal="center" vertical="center" shrinkToFit="1"/>
      <protection hidden="1"/>
    </xf>
    <xf numFmtId="166" fontId="17" fillId="0" borderId="4" xfId="0" applyNumberFormat="1" applyFont="1" applyBorder="1" applyAlignment="1" applyProtection="1">
      <alignment horizontal="center" vertical="center" shrinkToFit="1"/>
      <protection hidden="1"/>
    </xf>
    <xf numFmtId="0" fontId="17" fillId="3" borderId="25" xfId="0" applyFont="1" applyFill="1" applyBorder="1" applyAlignment="1" applyProtection="1">
      <alignment horizontal="center" vertical="center" shrinkToFit="1"/>
      <protection hidden="1"/>
    </xf>
    <xf numFmtId="0" fontId="17" fillId="3" borderId="26" xfId="0" applyFont="1" applyFill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shrinkToFit="1"/>
      <protection hidden="1"/>
    </xf>
    <xf numFmtId="0" fontId="17" fillId="0" borderId="48" xfId="0" applyFont="1" applyBorder="1" applyAlignment="1" applyProtection="1">
      <alignment horizontal="center" vertical="center" shrinkToFit="1"/>
      <protection hidden="1"/>
    </xf>
    <xf numFmtId="0" fontId="17" fillId="3" borderId="6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/>
      <protection hidden="1"/>
    </xf>
    <xf numFmtId="0" fontId="16" fillId="6" borderId="23" xfId="0" applyFont="1" applyFill="1" applyBorder="1" applyAlignment="1" applyProtection="1">
      <alignment horizontal="center" vertical="center"/>
      <protection hidden="1"/>
    </xf>
    <xf numFmtId="0" fontId="16" fillId="6" borderId="24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Fill="1" applyBorder="1" applyAlignment="1" applyProtection="1">
      <alignment horizontal="center" vertical="center" shrinkToFit="1"/>
      <protection hidden="1"/>
    </xf>
    <xf numFmtId="0" fontId="17" fillId="0" borderId="17" xfId="0" applyFont="1" applyFill="1" applyBorder="1" applyAlignment="1" applyProtection="1">
      <alignment horizontal="center" vertical="center" shrinkToFit="1"/>
      <protection hidden="1"/>
    </xf>
    <xf numFmtId="0" fontId="16" fillId="5" borderId="18" xfId="0" applyFont="1" applyFill="1" applyBorder="1" applyAlignment="1" applyProtection="1">
      <alignment horizontal="center" vertical="center" shrinkToFit="1"/>
      <protection hidden="1"/>
    </xf>
    <xf numFmtId="0" fontId="16" fillId="5" borderId="19" xfId="0" applyFont="1" applyFill="1" applyBorder="1" applyAlignment="1" applyProtection="1">
      <alignment horizontal="center" vertical="center" shrinkToFit="1"/>
      <protection hidden="1"/>
    </xf>
    <xf numFmtId="0" fontId="16" fillId="5" borderId="20" xfId="0" applyFont="1" applyFill="1" applyBorder="1" applyAlignment="1" applyProtection="1">
      <alignment horizontal="center" vertical="center" shrinkToFit="1"/>
      <protection hidden="1"/>
    </xf>
    <xf numFmtId="167" fontId="17" fillId="0" borderId="37" xfId="0" applyNumberFormat="1" applyFont="1" applyFill="1" applyBorder="1" applyAlignment="1" applyProtection="1">
      <alignment horizontal="right" vertical="center" shrinkToFit="1"/>
      <protection locked="0"/>
    </xf>
    <xf numFmtId="167" fontId="17" fillId="0" borderId="42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2" xfId="0" applyFont="1" applyFill="1" applyBorder="1" applyAlignment="1" applyProtection="1">
      <alignment horizontal="left" vertical="center" shrinkToFit="1"/>
      <protection hidden="1"/>
    </xf>
    <xf numFmtId="0" fontId="17" fillId="0" borderId="57" xfId="0" applyFont="1" applyFill="1" applyBorder="1" applyAlignment="1" applyProtection="1">
      <alignment horizontal="left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6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Fill="1" applyBorder="1" applyAlignment="1" applyProtection="1">
      <alignment horizontal="center" vertical="center" shrinkToFit="1"/>
      <protection locked="0"/>
    </xf>
    <xf numFmtId="164" fontId="17" fillId="0" borderId="22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21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56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2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166" fontId="17" fillId="0" borderId="16" xfId="0" applyNumberFormat="1" applyFont="1" applyBorder="1" applyAlignment="1" applyProtection="1">
      <alignment horizontal="center" vertical="center" shrinkToFit="1"/>
      <protection hidden="1"/>
    </xf>
    <xf numFmtId="166" fontId="17" fillId="0" borderId="3" xfId="0" applyNumberFormat="1" applyFont="1" applyBorder="1" applyAlignment="1" applyProtection="1">
      <alignment horizontal="center" vertical="center" shrinkToFit="1"/>
      <protection hidden="1"/>
    </xf>
    <xf numFmtId="0" fontId="17" fillId="0" borderId="56" xfId="0" applyFont="1" applyFill="1" applyBorder="1" applyAlignment="1" applyProtection="1">
      <alignment horizontal="left" vertical="center" shrinkToFit="1"/>
      <protection hidden="1"/>
    </xf>
    <xf numFmtId="0" fontId="17" fillId="0" borderId="50" xfId="0" applyFont="1" applyBorder="1" applyAlignment="1" applyProtection="1">
      <alignment horizontal="center" vertical="center" shrinkToFit="1"/>
      <protection hidden="1"/>
    </xf>
    <xf numFmtId="0" fontId="16" fillId="7" borderId="19" xfId="0" applyFont="1" applyFill="1" applyBorder="1" applyAlignment="1" applyProtection="1">
      <alignment horizontal="center" vertical="center"/>
      <protection hidden="1"/>
    </xf>
    <xf numFmtId="0" fontId="16" fillId="7" borderId="68" xfId="0" applyFont="1" applyFill="1" applyBorder="1" applyAlignment="1" applyProtection="1">
      <alignment horizontal="center" vertical="center"/>
      <protection hidden="1"/>
    </xf>
    <xf numFmtId="0" fontId="16" fillId="2" borderId="24" xfId="0" applyFont="1" applyFill="1" applyBorder="1" applyAlignment="1" applyProtection="1">
      <alignment horizontal="center" vertical="center"/>
      <protection hidden="1"/>
    </xf>
    <xf numFmtId="0" fontId="16" fillId="2" borderId="19" xfId="0" applyFont="1" applyFill="1" applyBorder="1" applyAlignment="1" applyProtection="1">
      <alignment horizontal="center" vertical="center"/>
      <protection hidden="1"/>
    </xf>
    <xf numFmtId="0" fontId="16" fillId="2" borderId="68" xfId="0" applyFont="1" applyFill="1" applyBorder="1" applyAlignment="1" applyProtection="1">
      <alignment horizontal="center" vertical="center"/>
      <protection hidden="1"/>
    </xf>
    <xf numFmtId="0" fontId="16" fillId="6" borderId="68" xfId="0" applyFont="1" applyFill="1" applyBorder="1" applyAlignment="1" applyProtection="1">
      <alignment horizontal="center" vertical="center"/>
      <protection hidden="1"/>
    </xf>
    <xf numFmtId="0" fontId="16" fillId="7" borderId="18" xfId="0" applyFont="1" applyFill="1" applyBorder="1" applyAlignment="1" applyProtection="1">
      <alignment horizontal="center" vertical="center"/>
      <protection hidden="1"/>
    </xf>
    <xf numFmtId="0" fontId="16" fillId="7" borderId="20" xfId="0" applyFont="1" applyFill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66" xfId="0" applyNumberFormat="1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2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4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166" fontId="17" fillId="0" borderId="14" xfId="0" applyNumberFormat="1" applyFont="1" applyBorder="1" applyAlignment="1" applyProtection="1">
      <alignment horizontal="center" vertical="center" shrinkToFit="1"/>
      <protection hidden="1"/>
    </xf>
    <xf numFmtId="166" fontId="17" fillId="0" borderId="2" xfId="0" applyNumberFormat="1" applyFont="1" applyBorder="1" applyAlignment="1" applyProtection="1">
      <alignment horizontal="center" vertical="center" shrinkToFit="1"/>
      <protection hidden="1"/>
    </xf>
    <xf numFmtId="0" fontId="17" fillId="0" borderId="69" xfId="0" applyFont="1" applyBorder="1" applyAlignment="1" applyProtection="1">
      <alignment horizontal="center" vertical="center" shrinkToFit="1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1" fontId="17" fillId="0" borderId="48" xfId="0" applyNumberFormat="1" applyFont="1" applyBorder="1" applyAlignment="1" applyProtection="1">
      <alignment horizontal="center" vertical="center" shrinkToFit="1"/>
      <protection hidden="1"/>
    </xf>
    <xf numFmtId="1" fontId="17" fillId="0" borderId="21" xfId="0" applyNumberFormat="1" applyFont="1" applyBorder="1" applyAlignment="1" applyProtection="1">
      <alignment horizontal="center" vertical="center" shrinkToFit="1"/>
      <protection hidden="1"/>
    </xf>
    <xf numFmtId="1" fontId="17" fillId="0" borderId="6" xfId="0" applyNumberFormat="1" applyFont="1" applyBorder="1" applyAlignment="1" applyProtection="1">
      <alignment horizontal="center" vertical="center" shrinkToFit="1"/>
      <protection hidden="1"/>
    </xf>
    <xf numFmtId="1" fontId="17" fillId="0" borderId="10" xfId="0" applyNumberFormat="1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6" fillId="4" borderId="24" xfId="0" applyFont="1" applyFill="1" applyBorder="1" applyAlignment="1" applyProtection="1">
      <alignment horizontal="center" vertical="center" shrinkToFit="1"/>
      <protection hidden="1"/>
    </xf>
    <xf numFmtId="0" fontId="16" fillId="4" borderId="19" xfId="0" applyFont="1" applyFill="1" applyBorder="1" applyAlignment="1" applyProtection="1">
      <alignment horizontal="center" vertical="center" shrinkToFit="1"/>
      <protection hidden="1"/>
    </xf>
    <xf numFmtId="0" fontId="16" fillId="4" borderId="20" xfId="0" applyFont="1" applyFill="1" applyBorder="1" applyAlignment="1" applyProtection="1">
      <alignment horizontal="center" vertical="center" shrinkToFit="1"/>
      <protection hidden="1"/>
    </xf>
    <xf numFmtId="0" fontId="16" fillId="4" borderId="23" xfId="0" applyFont="1" applyFill="1" applyBorder="1" applyAlignment="1" applyProtection="1">
      <alignment horizontal="center" vertical="center" shrinkToFit="1"/>
      <protection hidden="1"/>
    </xf>
    <xf numFmtId="0" fontId="16" fillId="5" borderId="23" xfId="0" applyFont="1" applyFill="1" applyBorder="1" applyAlignment="1" applyProtection="1">
      <alignment horizontal="center" vertical="center" shrinkToFit="1"/>
      <protection hidden="1"/>
    </xf>
    <xf numFmtId="0" fontId="16" fillId="5" borderId="70" xfId="0" applyFont="1" applyFill="1" applyBorder="1" applyAlignment="1" applyProtection="1">
      <alignment horizontal="center" vertical="center" shrinkToFit="1"/>
      <protection hidden="1"/>
    </xf>
    <xf numFmtId="0" fontId="16" fillId="5" borderId="24" xfId="0" applyFont="1" applyFill="1" applyBorder="1" applyAlignment="1" applyProtection="1">
      <alignment horizontal="center" vertical="center" shrinkToFit="1"/>
      <protection hidden="1"/>
    </xf>
    <xf numFmtId="0" fontId="16" fillId="2" borderId="18" xfId="0" applyFont="1" applyFill="1" applyBorder="1" applyAlignment="1" applyProtection="1">
      <alignment horizontal="center" vertical="center"/>
      <protection hidden="1"/>
    </xf>
    <xf numFmtId="0" fontId="16" fillId="2" borderId="20" xfId="0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center" vertical="center" shrinkToFit="1"/>
      <protection hidden="1"/>
    </xf>
    <xf numFmtId="0" fontId="17" fillId="0" borderId="52" xfId="0" applyFont="1" applyFill="1" applyBorder="1" applyAlignment="1" applyProtection="1">
      <alignment horizontal="center" vertical="center" shrinkToFit="1"/>
      <protection hidden="1"/>
    </xf>
    <xf numFmtId="0" fontId="17" fillId="0" borderId="48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52" xfId="0" applyFont="1" applyBorder="1" applyAlignment="1" applyProtection="1">
      <alignment horizontal="center" vertical="center" shrinkToFit="1"/>
      <protection hidden="1"/>
    </xf>
    <xf numFmtId="0" fontId="16" fillId="5" borderId="68" xfId="0" applyFont="1" applyFill="1" applyBorder="1" applyAlignment="1" applyProtection="1">
      <alignment horizontal="center" vertical="center" shrinkToFit="1"/>
      <protection hidden="1"/>
    </xf>
    <xf numFmtId="0" fontId="16" fillId="4" borderId="68" xfId="0" applyFont="1" applyFill="1" applyBorder="1" applyAlignment="1" applyProtection="1">
      <alignment horizontal="center" vertical="center" shrinkToFit="1"/>
      <protection hidden="1"/>
    </xf>
    <xf numFmtId="0" fontId="17" fillId="0" borderId="51" xfId="0" applyFont="1" applyBorder="1" applyAlignment="1" applyProtection="1">
      <alignment horizontal="center" vertical="center" shrinkToFit="1"/>
      <protection hidden="1"/>
    </xf>
    <xf numFmtId="1" fontId="17" fillId="0" borderId="40" xfId="0" applyNumberFormat="1" applyFont="1" applyBorder="1" applyAlignment="1" applyProtection="1">
      <alignment horizontal="center" vertical="center" shrinkToFit="1"/>
      <protection hidden="1"/>
    </xf>
    <xf numFmtId="1" fontId="17" fillId="0" borderId="46" xfId="0" applyNumberFormat="1" applyFont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4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7" borderId="67" xfId="0" applyFont="1" applyFill="1" applyBorder="1" applyAlignment="1" applyProtection="1">
      <alignment horizontal="center" vertical="center"/>
      <protection hidden="1"/>
    </xf>
    <xf numFmtId="0" fontId="16" fillId="2" borderId="67" xfId="0" applyFont="1" applyFill="1" applyBorder="1" applyAlignment="1" applyProtection="1">
      <alignment horizontal="center" vertical="center"/>
      <protection hidden="1"/>
    </xf>
    <xf numFmtId="0" fontId="16" fillId="6" borderId="67" xfId="0" applyFont="1" applyFill="1" applyBorder="1" applyAlignment="1" applyProtection="1">
      <alignment horizontal="center" vertical="center"/>
      <protection hidden="1"/>
    </xf>
    <xf numFmtId="0" fontId="16" fillId="3" borderId="67" xfId="0" applyFont="1" applyFill="1" applyBorder="1" applyAlignment="1" applyProtection="1">
      <alignment horizontal="center" vertical="center"/>
      <protection hidden="1"/>
    </xf>
    <xf numFmtId="0" fontId="16" fillId="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26" fillId="0" borderId="59" xfId="0" applyFont="1" applyBorder="1" applyAlignment="1" applyProtection="1">
      <alignment horizontal="center" vertical="center"/>
      <protection hidden="1"/>
    </xf>
    <xf numFmtId="0" fontId="26" fillId="0" borderId="60" xfId="0" applyFont="1" applyBorder="1" applyAlignment="1" applyProtection="1">
      <alignment horizontal="center" vertical="center"/>
      <protection hidden="1"/>
    </xf>
    <xf numFmtId="0" fontId="26" fillId="0" borderId="61" xfId="0" applyFont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20" fontId="16" fillId="0" borderId="0" xfId="0" applyNumberFormat="1" applyFont="1" applyBorder="1" applyAlignment="1" applyProtection="1">
      <alignment horizontal="center" vertical="center"/>
      <protection hidden="1"/>
    </xf>
    <xf numFmtId="169" fontId="16" fillId="0" borderId="0" xfId="0" applyNumberFormat="1" applyFont="1" applyBorder="1" applyAlignment="1" applyProtection="1">
      <alignment horizontal="center" vertical="center"/>
      <protection hidden="1"/>
    </xf>
    <xf numFmtId="167" fontId="17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51" xfId="0" applyFont="1" applyFill="1" applyBorder="1" applyAlignment="1" applyProtection="1">
      <alignment horizontal="center" vertical="center" shrinkToFit="1"/>
      <protection hidden="1"/>
    </xf>
    <xf numFmtId="0" fontId="17" fillId="0" borderId="49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1" fontId="13" fillId="0" borderId="0" xfId="0" applyNumberFormat="1" applyFont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left" vertical="center" shrinkToFit="1"/>
      <protection locked="0"/>
    </xf>
    <xf numFmtId="0" fontId="17" fillId="0" borderId="3" xfId="0" applyFont="1" applyBorder="1" applyAlignment="1" applyProtection="1">
      <alignment horizontal="left" vertical="center" shrinkToFit="1"/>
      <protection locked="0"/>
    </xf>
    <xf numFmtId="0" fontId="17" fillId="0" borderId="17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14" xfId="0" applyFont="1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 applyProtection="1">
      <alignment horizontal="left" vertical="center" shrinkToFit="1"/>
      <protection locked="0"/>
    </xf>
    <xf numFmtId="0" fontId="17" fillId="0" borderId="15" xfId="0" applyFont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 applyProtection="1">
      <alignment horizontal="right" vertical="center"/>
      <protection hidden="1"/>
    </xf>
    <xf numFmtId="0" fontId="16" fillId="5" borderId="18" xfId="0" applyFont="1" applyFill="1" applyBorder="1" applyAlignment="1" applyProtection="1">
      <alignment horizontal="center" vertical="center"/>
      <protection hidden="1"/>
    </xf>
    <xf numFmtId="0" fontId="16" fillId="5" borderId="19" xfId="0" applyFont="1" applyFill="1" applyBorder="1" applyAlignment="1" applyProtection="1">
      <alignment horizontal="center" vertical="center"/>
      <protection hidden="1"/>
    </xf>
    <xf numFmtId="0" fontId="16" fillId="5" borderId="20" xfId="0" applyFont="1" applyFill="1" applyBorder="1" applyAlignment="1" applyProtection="1">
      <alignment horizontal="center" vertical="center"/>
      <protection hidden="1"/>
    </xf>
    <xf numFmtId="0" fontId="16" fillId="4" borderId="18" xfId="0" applyFont="1" applyFill="1" applyBorder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0" fontId="16" fillId="4" borderId="2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horizontal="center" vertical="center"/>
      <protection locked="0"/>
    </xf>
    <xf numFmtId="0" fontId="17" fillId="3" borderId="30" xfId="0" applyFont="1" applyFill="1" applyBorder="1" applyAlignment="1" applyProtection="1">
      <alignment horizontal="center" vertical="center" shrinkToFit="1"/>
      <protection hidden="1"/>
    </xf>
    <xf numFmtId="0" fontId="17" fillId="3" borderId="51" xfId="0" applyFont="1" applyFill="1" applyBorder="1" applyAlignment="1" applyProtection="1">
      <alignment horizontal="center" vertical="center" shrinkToFit="1"/>
      <protection hidden="1"/>
    </xf>
    <xf numFmtId="0" fontId="13" fillId="5" borderId="53" xfId="0" applyFont="1" applyFill="1" applyBorder="1" applyAlignment="1" applyProtection="1">
      <alignment horizontal="center" textRotation="90" shrinkToFit="1"/>
      <protection hidden="1"/>
    </xf>
    <xf numFmtId="0" fontId="13" fillId="5" borderId="37" xfId="0" applyFont="1" applyFill="1" applyBorder="1" applyAlignment="1" applyProtection="1">
      <alignment horizontal="center" textRotation="90" shrinkToFit="1"/>
      <protection hidden="1"/>
    </xf>
    <xf numFmtId="0" fontId="13" fillId="5" borderId="54" xfId="0" applyFont="1" applyFill="1" applyBorder="1" applyAlignment="1" applyProtection="1">
      <alignment horizontal="center" textRotation="90" shrinkToFit="1"/>
      <protection hidden="1"/>
    </xf>
    <xf numFmtId="0" fontId="13" fillId="5" borderId="8" xfId="0" applyFont="1" applyFill="1" applyBorder="1" applyAlignment="1" applyProtection="1">
      <alignment horizontal="center" textRotation="90" shrinkToFit="1"/>
      <protection hidden="1"/>
    </xf>
    <xf numFmtId="0" fontId="13" fillId="5" borderId="55" xfId="0" applyFont="1" applyFill="1" applyBorder="1" applyAlignment="1" applyProtection="1">
      <alignment horizontal="center" textRotation="90" shrinkToFit="1"/>
      <protection hidden="1"/>
    </xf>
    <xf numFmtId="0" fontId="13" fillId="5" borderId="40" xfId="0" applyFont="1" applyFill="1" applyBorder="1" applyAlignment="1" applyProtection="1">
      <alignment horizontal="center" textRotation="90" shrinkToFit="1"/>
      <protection hidden="1"/>
    </xf>
    <xf numFmtId="0" fontId="13" fillId="4" borderId="31" xfId="0" applyFont="1" applyFill="1" applyBorder="1" applyAlignment="1" applyProtection="1">
      <alignment horizontal="center" textRotation="90"/>
      <protection hidden="1"/>
    </xf>
    <xf numFmtId="0" fontId="13" fillId="4" borderId="32" xfId="0" applyFont="1" applyFill="1" applyBorder="1" applyAlignment="1" applyProtection="1">
      <alignment horizontal="center" textRotation="90"/>
      <protection hidden="1"/>
    </xf>
    <xf numFmtId="0" fontId="13" fillId="4" borderId="33" xfId="0" applyFont="1" applyFill="1" applyBorder="1" applyAlignment="1" applyProtection="1">
      <alignment horizontal="center" textRotation="90"/>
      <protection hidden="1"/>
    </xf>
    <xf numFmtId="0" fontId="13" fillId="4" borderId="1" xfId="0" applyFont="1" applyFill="1" applyBorder="1" applyAlignment="1" applyProtection="1">
      <alignment horizontal="center" textRotation="90"/>
      <protection hidden="1"/>
    </xf>
    <xf numFmtId="0" fontId="13" fillId="4" borderId="0" xfId="0" applyFont="1" applyFill="1" applyBorder="1" applyAlignment="1" applyProtection="1">
      <alignment horizontal="center" textRotation="90"/>
      <protection hidden="1"/>
    </xf>
    <xf numFmtId="0" fontId="13" fillId="4" borderId="34" xfId="0" applyFont="1" applyFill="1" applyBorder="1" applyAlignment="1" applyProtection="1">
      <alignment horizontal="center" textRotation="90"/>
      <protection hidden="1"/>
    </xf>
    <xf numFmtId="0" fontId="13" fillId="4" borderId="35" xfId="0" applyFont="1" applyFill="1" applyBorder="1" applyAlignment="1" applyProtection="1">
      <alignment horizontal="center" textRotation="90"/>
      <protection hidden="1"/>
    </xf>
    <xf numFmtId="0" fontId="13" fillId="4" borderId="5" xfId="0" applyFont="1" applyFill="1" applyBorder="1" applyAlignment="1" applyProtection="1">
      <alignment horizontal="center" textRotation="90"/>
      <protection hidden="1"/>
    </xf>
    <xf numFmtId="0" fontId="13" fillId="4" borderId="36" xfId="0" applyFont="1" applyFill="1" applyBorder="1" applyAlignment="1" applyProtection="1">
      <alignment horizontal="center" textRotation="90"/>
      <protection hidden="1"/>
    </xf>
    <xf numFmtId="0" fontId="13" fillId="5" borderId="38" xfId="0" applyFont="1" applyFill="1" applyBorder="1" applyAlignment="1" applyProtection="1">
      <alignment horizontal="center" textRotation="90" shrinkToFit="1"/>
      <protection hidden="1"/>
    </xf>
    <xf numFmtId="0" fontId="13" fillId="5" borderId="39" xfId="0" applyFont="1" applyFill="1" applyBorder="1" applyAlignment="1" applyProtection="1">
      <alignment horizontal="center" textRotation="90" shrinkToFit="1"/>
      <protection hidden="1"/>
    </xf>
    <xf numFmtId="0" fontId="13" fillId="5" borderId="41" xfId="0" applyFont="1" applyFill="1" applyBorder="1" applyAlignment="1" applyProtection="1">
      <alignment horizontal="center" textRotation="90" shrinkToFit="1"/>
      <protection hidden="1"/>
    </xf>
    <xf numFmtId="0" fontId="13" fillId="4" borderId="42" xfId="0" applyFont="1" applyFill="1" applyBorder="1" applyAlignment="1" applyProtection="1">
      <alignment horizontal="center" textRotation="90"/>
      <protection hidden="1"/>
    </xf>
    <xf numFmtId="0" fontId="13" fillId="4" borderId="43" xfId="0" applyFont="1" applyFill="1" applyBorder="1" applyAlignment="1" applyProtection="1">
      <alignment horizontal="center" textRotation="90"/>
      <protection hidden="1"/>
    </xf>
    <xf numFmtId="0" fontId="13" fillId="4" borderId="44" xfId="0" applyFont="1" applyFill="1" applyBorder="1" applyAlignment="1" applyProtection="1">
      <alignment horizontal="center" textRotation="90"/>
      <protection hidden="1"/>
    </xf>
    <xf numFmtId="0" fontId="13" fillId="4" borderId="45" xfId="0" applyFont="1" applyFill="1" applyBorder="1" applyAlignment="1" applyProtection="1">
      <alignment horizontal="center" textRotation="90"/>
      <protection hidden="1"/>
    </xf>
    <xf numFmtId="0" fontId="13" fillId="4" borderId="46" xfId="0" applyFont="1" applyFill="1" applyBorder="1" applyAlignment="1" applyProtection="1">
      <alignment horizontal="center" textRotation="90"/>
      <protection hidden="1"/>
    </xf>
    <xf numFmtId="0" fontId="13" fillId="4" borderId="47" xfId="0" applyFont="1" applyFill="1" applyBorder="1" applyAlignment="1" applyProtection="1">
      <alignment horizontal="center" textRotation="90"/>
      <protection hidden="1"/>
    </xf>
    <xf numFmtId="172" fontId="13" fillId="0" borderId="0" xfId="0" applyNumberFormat="1" applyFont="1" applyBorder="1" applyAlignment="1" applyProtection="1">
      <alignment horizontal="left" vertical="center"/>
      <protection locked="0"/>
    </xf>
    <xf numFmtId="0" fontId="4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16" fillId="4" borderId="18" xfId="0" applyFont="1" applyFill="1" applyBorder="1" applyAlignment="1" applyProtection="1">
      <alignment horizontal="center" vertical="center" shrinkToFit="1"/>
      <protection hidden="1"/>
    </xf>
    <xf numFmtId="0" fontId="17" fillId="0" borderId="25" xfId="0" applyFont="1" applyBorder="1" applyAlignment="1" applyProtection="1">
      <alignment horizontal="left" vertical="center" shrinkToFit="1"/>
      <protection hidden="1"/>
    </xf>
    <xf numFmtId="0" fontId="17" fillId="0" borderId="26" xfId="0" applyFont="1" applyBorder="1" applyAlignment="1" applyProtection="1">
      <alignment horizontal="left" vertical="center" shrinkToFit="1"/>
      <protection hidden="1"/>
    </xf>
    <xf numFmtId="0" fontId="17" fillId="0" borderId="27" xfId="0" applyFont="1" applyBorder="1" applyAlignment="1" applyProtection="1">
      <alignment horizontal="left" vertical="center" shrinkToFit="1"/>
      <protection hidden="1"/>
    </xf>
    <xf numFmtId="0" fontId="17" fillId="0" borderId="28" xfId="0" applyFont="1" applyBorder="1" applyAlignment="1" applyProtection="1">
      <alignment horizontal="left" vertical="center" shrinkToFit="1"/>
      <protection hidden="1"/>
    </xf>
    <xf numFmtId="0" fontId="17" fillId="0" borderId="29" xfId="0" applyFont="1" applyBorder="1" applyAlignment="1" applyProtection="1">
      <alignment horizontal="left" vertical="center" shrinkToFit="1"/>
      <protection hidden="1"/>
    </xf>
    <xf numFmtId="0" fontId="17" fillId="0" borderId="30" xfId="0" applyFont="1" applyBorder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71" fontId="13" fillId="0" borderId="0" xfId="0" applyNumberFormat="1" applyFont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57" xfId="0" applyFont="1" applyFill="1" applyBorder="1" applyAlignment="1" applyProtection="1">
      <alignment horizontal="left" vertical="center" shrinkToFit="1"/>
      <protection hidden="1"/>
    </xf>
    <xf numFmtId="0" fontId="9" fillId="3" borderId="67" xfId="0" applyFont="1" applyFill="1" applyBorder="1" applyAlignment="1" applyProtection="1">
      <alignment horizontal="center" vertical="center"/>
      <protection hidden="1"/>
    </xf>
    <xf numFmtId="0" fontId="9" fillId="3" borderId="23" xfId="0" applyFont="1" applyFill="1" applyBorder="1" applyAlignment="1" applyProtection="1">
      <alignment horizontal="center" vertical="center"/>
      <protection hidden="1"/>
    </xf>
    <xf numFmtId="0" fontId="9" fillId="3" borderId="24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9" fillId="3" borderId="68" xfId="0" applyFont="1" applyFill="1" applyBorder="1" applyAlignment="1" applyProtection="1">
      <alignment horizontal="center" vertical="center"/>
      <protection hidden="1"/>
    </xf>
    <xf numFmtId="0" fontId="9" fillId="0" borderId="52" xfId="0" applyFont="1" applyFill="1" applyBorder="1" applyAlignment="1" applyProtection="1">
      <alignment horizontal="center" vertical="center" shrinkToFit="1"/>
      <protection hidden="1"/>
    </xf>
    <xf numFmtId="0" fontId="9" fillId="0" borderId="48" xfId="0" applyFont="1" applyFill="1" applyBorder="1" applyAlignment="1" applyProtection="1">
      <alignment horizontal="center" vertical="center" shrinkToFit="1"/>
      <protection hidden="1"/>
    </xf>
    <xf numFmtId="0" fontId="9" fillId="0" borderId="66" xfId="0" applyFont="1" applyFill="1" applyBorder="1" applyAlignment="1" applyProtection="1">
      <alignment horizontal="left" vertical="center" shrinkToFit="1"/>
      <protection hidden="1"/>
    </xf>
    <xf numFmtId="0" fontId="9" fillId="0" borderId="51" xfId="0" applyFont="1" applyFill="1" applyBorder="1" applyAlignment="1" applyProtection="1">
      <alignment horizontal="center" vertical="center" shrinkToFit="1"/>
      <protection hidden="1"/>
    </xf>
    <xf numFmtId="0" fontId="9" fillId="0" borderId="49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9" fillId="0" borderId="13" xfId="0" applyFont="1" applyBorder="1" applyAlignment="1" applyProtection="1">
      <alignment horizontal="left" vertical="center" shrinkToFit="1"/>
      <protection hidden="1"/>
    </xf>
    <xf numFmtId="0" fontId="9" fillId="0" borderId="14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15" xfId="0" applyFont="1" applyBorder="1" applyAlignment="1" applyProtection="1">
      <alignment horizontal="left" vertical="center" shrinkToFit="1"/>
      <protection hidden="1"/>
    </xf>
    <xf numFmtId="0" fontId="9" fillId="0" borderId="16" xfId="0" applyFont="1" applyBorder="1" applyAlignment="1" applyProtection="1">
      <alignment horizontal="left" vertical="center" shrinkToFit="1"/>
      <protection hidden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17" xfId="0" applyFont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2" borderId="67" xfId="0" applyFont="1" applyFill="1" applyBorder="1" applyAlignment="1" applyProtection="1">
      <alignment horizontal="center" vertical="center"/>
      <protection hidden="1"/>
    </xf>
    <xf numFmtId="0" fontId="9" fillId="2" borderId="23" xfId="0" applyFont="1" applyFill="1" applyBorder="1" applyAlignment="1" applyProtection="1">
      <alignment horizontal="center" vertical="center"/>
      <protection hidden="1"/>
    </xf>
    <xf numFmtId="169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5" borderId="18" xfId="0" applyFont="1" applyFill="1" applyBorder="1" applyAlignment="1" applyProtection="1">
      <alignment horizontal="center" vertical="center"/>
      <protection hidden="1"/>
    </xf>
    <xf numFmtId="0" fontId="9" fillId="5" borderId="19" xfId="0" applyFont="1" applyFill="1" applyBorder="1" applyAlignment="1" applyProtection="1">
      <alignment horizontal="center" vertical="center"/>
      <protection hidden="1"/>
    </xf>
    <xf numFmtId="0" fontId="9" fillId="5" borderId="2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horizontal="center" vertical="center"/>
      <protection hidden="1"/>
    </xf>
    <xf numFmtId="0" fontId="9" fillId="4" borderId="19" xfId="0" applyFont="1" applyFill="1" applyBorder="1" applyAlignment="1" applyProtection="1">
      <alignment horizontal="center" vertical="center"/>
      <protection hidden="1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0" fontId="9" fillId="0" borderId="53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center" vertic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9" fillId="7" borderId="67" xfId="0" applyFont="1" applyFill="1" applyBorder="1" applyAlignment="1" applyProtection="1">
      <alignment horizontal="center" vertical="center"/>
      <protection hidden="1"/>
    </xf>
    <xf numFmtId="0" fontId="9" fillId="7" borderId="23" xfId="0" applyFont="1" applyFill="1" applyBorder="1" applyAlignment="1" applyProtection="1">
      <alignment horizontal="center" vertical="center"/>
      <protection hidden="1"/>
    </xf>
    <xf numFmtId="0" fontId="9" fillId="0" borderId="58" xfId="0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0" fontId="9" fillId="0" borderId="21" xfId="0" applyFont="1" applyFill="1" applyBorder="1" applyAlignment="1" applyProtection="1">
      <alignment horizontal="left" vertical="center" shrinkToFit="1"/>
      <protection hidden="1"/>
    </xf>
    <xf numFmtId="0" fontId="9" fillId="0" borderId="3" xfId="0" applyFont="1" applyFill="1" applyBorder="1" applyAlignment="1" applyProtection="1">
      <alignment horizontal="left" vertical="center" shrinkToFit="1"/>
      <protection hidden="1"/>
    </xf>
    <xf numFmtId="0" fontId="9" fillId="0" borderId="22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164" fontId="9" fillId="0" borderId="21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56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22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11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65" xfId="0" applyNumberFormat="1" applyFont="1" applyFill="1" applyBorder="1" applyAlignment="1" applyProtection="1">
      <alignment horizontal="center" vertical="center" shrinkToFit="1"/>
      <protection hidden="1"/>
    </xf>
    <xf numFmtId="167" fontId="9" fillId="0" borderId="66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2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21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3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71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Fill="1" applyBorder="1" applyAlignment="1" applyProtection="1">
      <alignment horizontal="center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right" vertical="center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horizontal="center" vertical="center" shrinkToFit="1"/>
      <protection hidden="1"/>
    </xf>
    <xf numFmtId="0" fontId="9" fillId="4" borderId="24" xfId="0" applyFont="1" applyFill="1" applyBorder="1" applyAlignment="1" applyProtection="1">
      <alignment horizontal="center" vertical="center" shrinkToFit="1"/>
      <protection hidden="1"/>
    </xf>
    <xf numFmtId="0" fontId="9" fillId="4" borderId="19" xfId="0" applyFont="1" applyFill="1" applyBorder="1" applyAlignment="1" applyProtection="1">
      <alignment horizontal="center" vertical="center" shrinkToFit="1"/>
      <protection hidden="1"/>
    </xf>
    <xf numFmtId="0" fontId="9" fillId="4" borderId="68" xfId="0" applyFont="1" applyFill="1" applyBorder="1" applyAlignment="1" applyProtection="1">
      <alignment horizontal="center" vertical="center" shrinkToFit="1"/>
      <protection hidden="1"/>
    </xf>
    <xf numFmtId="0" fontId="9" fillId="0" borderId="30" xfId="0" applyFont="1" applyBorder="1" applyAlignment="1" applyProtection="1">
      <alignment horizontal="center" vertical="center" shrinkToFit="1"/>
      <protection hidden="1"/>
    </xf>
    <xf numFmtId="0" fontId="9" fillId="0" borderId="51" xfId="0" applyFont="1" applyBorder="1" applyAlignment="1" applyProtection="1">
      <alignment horizontal="center" vertical="center" shrinkToFit="1"/>
      <protection hidden="1"/>
    </xf>
    <xf numFmtId="0" fontId="9" fillId="0" borderId="49" xfId="0" applyFont="1" applyBorder="1" applyAlignment="1" applyProtection="1">
      <alignment horizontal="center" vertical="center" shrinkToFit="1"/>
      <protection hidden="1"/>
    </xf>
    <xf numFmtId="167" fontId="9" fillId="0" borderId="22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56" xfId="0" applyFont="1" applyFill="1" applyBorder="1" applyAlignment="1" applyProtection="1">
      <alignment horizontal="left" vertical="center" shrinkToFit="1"/>
      <protection hidden="1"/>
    </xf>
    <xf numFmtId="0" fontId="9" fillId="0" borderId="65" xfId="0" applyFont="1" applyFill="1" applyBorder="1" applyAlignment="1" applyProtection="1">
      <alignment horizontal="left" vertical="center" shrinkToFit="1"/>
      <protection hidden="1"/>
    </xf>
    <xf numFmtId="169" fontId="9" fillId="0" borderId="0" xfId="0" applyNumberFormat="1" applyFont="1" applyBorder="1" applyAlignment="1" applyProtection="1">
      <alignment horizontal="left" vertical="center"/>
      <protection hidden="1"/>
    </xf>
    <xf numFmtId="166" fontId="9" fillId="0" borderId="16" xfId="0" applyNumberFormat="1" applyFont="1" applyBorder="1" applyAlignment="1" applyProtection="1">
      <alignment horizontal="center" vertical="center" shrinkToFit="1"/>
      <protection hidden="1"/>
    </xf>
    <xf numFmtId="166" fontId="9" fillId="0" borderId="3" xfId="0" applyNumberFormat="1" applyFont="1" applyBorder="1" applyAlignment="1" applyProtection="1">
      <alignment horizontal="center" vertical="center" shrinkToFit="1"/>
      <protection hidden="1"/>
    </xf>
    <xf numFmtId="164" fontId="9" fillId="0" borderId="66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2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36" fillId="4" borderId="42" xfId="0" applyFont="1" applyFill="1" applyBorder="1" applyAlignment="1" applyProtection="1">
      <alignment horizontal="center" textRotation="90"/>
      <protection hidden="1"/>
    </xf>
    <xf numFmtId="0" fontId="36" fillId="4" borderId="32" xfId="0" applyFont="1" applyFill="1" applyBorder="1" applyAlignment="1" applyProtection="1">
      <alignment horizontal="center" textRotation="90"/>
      <protection hidden="1"/>
    </xf>
    <xf numFmtId="0" fontId="36" fillId="4" borderId="43" xfId="0" applyFont="1" applyFill="1" applyBorder="1" applyAlignment="1" applyProtection="1">
      <alignment horizontal="center" textRotation="90"/>
      <protection hidden="1"/>
    </xf>
    <xf numFmtId="0" fontId="36" fillId="4" borderId="44" xfId="0" applyFont="1" applyFill="1" applyBorder="1" applyAlignment="1" applyProtection="1">
      <alignment horizontal="center" textRotation="90"/>
      <protection hidden="1"/>
    </xf>
    <xf numFmtId="0" fontId="36" fillId="4" borderId="0" xfId="0" applyFont="1" applyFill="1" applyBorder="1" applyAlignment="1" applyProtection="1">
      <alignment horizontal="center" textRotation="90"/>
      <protection hidden="1"/>
    </xf>
    <xf numFmtId="0" fontId="36" fillId="4" borderId="45" xfId="0" applyFont="1" applyFill="1" applyBorder="1" applyAlignment="1" applyProtection="1">
      <alignment horizontal="center" textRotation="90"/>
      <protection hidden="1"/>
    </xf>
    <xf numFmtId="0" fontId="36" fillId="4" borderId="46" xfId="0" applyFont="1" applyFill="1" applyBorder="1" applyAlignment="1" applyProtection="1">
      <alignment horizontal="center" textRotation="90"/>
      <protection hidden="1"/>
    </xf>
    <xf numFmtId="0" fontId="36" fillId="4" borderId="5" xfId="0" applyFont="1" applyFill="1" applyBorder="1" applyAlignment="1" applyProtection="1">
      <alignment horizontal="center" textRotation="90"/>
      <protection hidden="1"/>
    </xf>
    <xf numFmtId="0" fontId="36" fillId="4" borderId="47" xfId="0" applyFont="1" applyFill="1" applyBorder="1" applyAlignment="1" applyProtection="1">
      <alignment horizontal="center" textRotation="90"/>
      <protection hidden="1"/>
    </xf>
    <xf numFmtId="0" fontId="9" fillId="0" borderId="29" xfId="0" applyFont="1" applyBorder="1" applyAlignment="1" applyProtection="1">
      <alignment horizontal="left" vertical="center" shrinkToFit="1"/>
      <protection hidden="1"/>
    </xf>
    <xf numFmtId="0" fontId="9" fillId="0" borderId="30" xfId="0" applyFont="1" applyBorder="1" applyAlignment="1" applyProtection="1">
      <alignment horizontal="left" vertical="center" shrinkToFi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36" fillId="4" borderId="31" xfId="0" applyFont="1" applyFill="1" applyBorder="1" applyAlignment="1" applyProtection="1">
      <alignment horizontal="center" textRotation="90"/>
      <protection hidden="1"/>
    </xf>
    <xf numFmtId="0" fontId="36" fillId="4" borderId="33" xfId="0" applyFont="1" applyFill="1" applyBorder="1" applyAlignment="1" applyProtection="1">
      <alignment horizontal="center" textRotation="90"/>
      <protection hidden="1"/>
    </xf>
    <xf numFmtId="0" fontId="36" fillId="4" borderId="1" xfId="0" applyFont="1" applyFill="1" applyBorder="1" applyAlignment="1" applyProtection="1">
      <alignment horizontal="center" textRotation="90"/>
      <protection hidden="1"/>
    </xf>
    <xf numFmtId="0" fontId="36" fillId="4" borderId="34" xfId="0" applyFont="1" applyFill="1" applyBorder="1" applyAlignment="1" applyProtection="1">
      <alignment horizontal="center" textRotation="90"/>
      <protection hidden="1"/>
    </xf>
    <xf numFmtId="0" fontId="36" fillId="4" borderId="35" xfId="0" applyFont="1" applyFill="1" applyBorder="1" applyAlignment="1" applyProtection="1">
      <alignment horizontal="center" textRotation="90"/>
      <protection hidden="1"/>
    </xf>
    <xf numFmtId="0" fontId="36" fillId="4" borderId="36" xfId="0" applyFont="1" applyFill="1" applyBorder="1" applyAlignment="1" applyProtection="1">
      <alignment horizontal="center" textRotation="90"/>
      <protection hidden="1"/>
    </xf>
    <xf numFmtId="0" fontId="9" fillId="0" borderId="27" xfId="0" applyFont="1" applyBorder="1" applyAlignment="1" applyProtection="1">
      <alignment horizontal="center" vertical="center" shrinkToFit="1"/>
      <protection hidden="1"/>
    </xf>
    <xf numFmtId="0" fontId="9" fillId="0" borderId="28" xfId="0" applyFont="1" applyBorder="1" applyAlignment="1" applyProtection="1">
      <alignment horizontal="center" vertical="center" shrinkToFit="1"/>
      <protection hidden="1"/>
    </xf>
    <xf numFmtId="0" fontId="9" fillId="0" borderId="29" xfId="0" applyFont="1" applyBorder="1" applyAlignment="1" applyProtection="1">
      <alignment horizontal="center" vertical="center" shrinkToFit="1"/>
      <protection hidden="1"/>
    </xf>
    <xf numFmtId="0" fontId="9" fillId="0" borderId="66" xfId="0" applyFont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 shrinkToFit="1"/>
      <protection hidden="1"/>
    </xf>
    <xf numFmtId="0" fontId="9" fillId="0" borderId="57" xfId="0" applyFont="1" applyBorder="1" applyAlignment="1" applyProtection="1">
      <alignment horizontal="center" vertical="center" shrinkToFit="1"/>
      <protection hidden="1"/>
    </xf>
    <xf numFmtId="0" fontId="9" fillId="3" borderId="30" xfId="0" applyFont="1" applyFill="1" applyBorder="1" applyAlignment="1" applyProtection="1">
      <alignment horizontal="center" vertical="center" shrinkToFit="1"/>
      <protection hidden="1"/>
    </xf>
    <xf numFmtId="0" fontId="9" fillId="3" borderId="51" xfId="0" applyFont="1" applyFill="1" applyBorder="1" applyAlignment="1" applyProtection="1">
      <alignment horizontal="center" vertical="center" shrinkToFit="1"/>
      <protection hidden="1"/>
    </xf>
    <xf numFmtId="0" fontId="9" fillId="0" borderId="50" xfId="0" applyFont="1" applyBorder="1" applyAlignment="1" applyProtection="1">
      <alignment horizontal="center" vertical="center" shrinkToFit="1"/>
      <protection hidden="1"/>
    </xf>
    <xf numFmtId="0" fontId="9" fillId="0" borderId="48" xfId="0" applyFont="1" applyBorder="1" applyAlignment="1" applyProtection="1">
      <alignment horizontal="center" vertical="center" shrinkToFit="1"/>
      <protection hidden="1"/>
    </xf>
    <xf numFmtId="0" fontId="9" fillId="0" borderId="25" xfId="0" applyFont="1" applyBorder="1" applyAlignment="1" applyProtection="1">
      <alignment horizontal="center" vertical="center" shrinkToFit="1"/>
      <protection hidden="1"/>
    </xf>
    <xf numFmtId="0" fontId="34" fillId="5" borderId="23" xfId="0" applyFont="1" applyFill="1" applyBorder="1" applyAlignment="1" applyProtection="1">
      <alignment horizontal="center" vertical="center" shrinkToFit="1"/>
      <protection hidden="1"/>
    </xf>
    <xf numFmtId="0" fontId="34" fillId="5" borderId="24" xfId="0" applyFont="1" applyFill="1" applyBorder="1" applyAlignment="1" applyProtection="1">
      <alignment horizontal="center" vertical="center" shrinkToFit="1"/>
      <protection hidden="1"/>
    </xf>
    <xf numFmtId="1" fontId="9" fillId="0" borderId="6" xfId="0" applyNumberFormat="1" applyFont="1" applyBorder="1" applyAlignment="1" applyProtection="1">
      <alignment horizontal="center" vertical="center" shrinkToFit="1"/>
      <protection hidden="1"/>
    </xf>
    <xf numFmtId="1" fontId="9" fillId="0" borderId="10" xfId="0" applyNumberFormat="1" applyFont="1" applyBorder="1" applyAlignment="1" applyProtection="1">
      <alignment horizontal="center" vertical="center" shrinkToFit="1"/>
      <protection hidden="1"/>
    </xf>
    <xf numFmtId="0" fontId="34" fillId="5" borderId="70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4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1" fontId="9" fillId="0" borderId="49" xfId="0" applyNumberFormat="1" applyFont="1" applyBorder="1" applyAlignment="1" applyProtection="1">
      <alignment horizontal="center" vertical="center" shrinkToFit="1"/>
      <protection hidden="1"/>
    </xf>
    <xf numFmtId="1" fontId="9" fillId="0" borderId="66" xfId="0" applyNumberFormat="1" applyFont="1" applyBorder="1" applyAlignment="1" applyProtection="1">
      <alignment horizontal="center" vertical="center" shrinkToFit="1"/>
      <protection hidden="1"/>
    </xf>
    <xf numFmtId="1" fontId="9" fillId="0" borderId="48" xfId="0" applyNumberFormat="1" applyFont="1" applyBorder="1" applyAlignment="1" applyProtection="1">
      <alignment horizontal="center" vertical="center" shrinkToFit="1"/>
      <protection hidden="1"/>
    </xf>
    <xf numFmtId="1" fontId="9" fillId="0" borderId="21" xfId="0" applyNumberFormat="1" applyFont="1" applyBorder="1" applyAlignment="1" applyProtection="1">
      <alignment horizontal="center" vertical="center" shrinkToFit="1"/>
      <protection hidden="1"/>
    </xf>
    <xf numFmtId="0" fontId="9" fillId="0" borderId="69" xfId="0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 applyProtection="1">
      <alignment horizontal="center" vertical="center" shrinkToFit="1"/>
      <protection hidden="1"/>
    </xf>
    <xf numFmtId="0" fontId="9" fillId="0" borderId="56" xfId="0" applyFont="1" applyBorder="1" applyAlignment="1" applyProtection="1">
      <alignment horizontal="center" vertical="center" shrinkToFit="1"/>
      <protection hidden="1"/>
    </xf>
    <xf numFmtId="0" fontId="9" fillId="4" borderId="20" xfId="0" applyFont="1" applyFill="1" applyBorder="1" applyAlignment="1" applyProtection="1">
      <alignment horizontal="center" vertical="center" shrinkToFit="1"/>
      <protection hidden="1"/>
    </xf>
    <xf numFmtId="0" fontId="9" fillId="4" borderId="23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Fill="1" applyBorder="1" applyAlignment="1" applyProtection="1">
      <alignment horizontal="center" vertical="center" shrinkToFit="1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42" xfId="0" applyNumberFormat="1" applyFont="1" applyFill="1" applyBorder="1" applyAlignment="1" applyProtection="1">
      <alignment horizontal="right" vertical="center" shrinkToFit="1"/>
      <protection hidden="1"/>
    </xf>
    <xf numFmtId="167" fontId="9" fillId="8" borderId="48" xfId="0" applyNumberFormat="1" applyFont="1" applyFill="1" applyBorder="1" applyAlignment="1" applyProtection="1">
      <alignment horizontal="center" vertical="center"/>
      <protection hidden="1"/>
    </xf>
    <xf numFmtId="167" fontId="9" fillId="8" borderId="21" xfId="0" applyNumberFormat="1" applyFont="1" applyFill="1" applyBorder="1" applyAlignment="1" applyProtection="1">
      <alignment horizontal="center" vertical="center"/>
      <protection hidden="1"/>
    </xf>
    <xf numFmtId="0" fontId="34" fillId="5" borderId="68" xfId="0" applyFont="1" applyFill="1" applyBorder="1" applyAlignment="1" applyProtection="1">
      <alignment horizontal="center" vertical="center" shrinkToFit="1"/>
      <protection hidden="1"/>
    </xf>
    <xf numFmtId="0" fontId="9" fillId="0" borderId="26" xfId="0" applyFont="1" applyBorder="1" applyAlignment="1" applyProtection="1">
      <alignment horizontal="center" vertical="center" shrinkToFit="1"/>
      <protection hidden="1"/>
    </xf>
    <xf numFmtId="0" fontId="9" fillId="0" borderId="52" xfId="0" applyFont="1" applyBorder="1" applyAlignment="1" applyProtection="1">
      <alignment horizontal="center" vertical="center" shrinkToFit="1"/>
      <protection hidden="1"/>
    </xf>
    <xf numFmtId="0" fontId="9" fillId="0" borderId="21" xfId="0" applyFont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34" fillId="3" borderId="6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 shrinkToFit="1"/>
      <protection hidden="1"/>
    </xf>
    <xf numFmtId="166" fontId="9" fillId="0" borderId="12" xfId="0" applyNumberFormat="1" applyFont="1" applyBorder="1" applyAlignment="1" applyProtection="1">
      <alignment horizontal="center" vertical="center" shrinkToFit="1"/>
      <protection hidden="1"/>
    </xf>
    <xf numFmtId="166" fontId="9" fillId="0" borderId="4" xfId="0" applyNumberFormat="1" applyFont="1" applyBorder="1" applyAlignment="1" applyProtection="1">
      <alignment horizontal="center" vertical="center" shrinkToFit="1"/>
      <protection hidden="1"/>
    </xf>
    <xf numFmtId="0" fontId="34" fillId="5" borderId="18" xfId="0" applyFont="1" applyFill="1" applyBorder="1" applyAlignment="1" applyProtection="1">
      <alignment horizontal="center" vertical="center" shrinkToFit="1"/>
      <protection hidden="1"/>
    </xf>
    <xf numFmtId="0" fontId="34" fillId="5" borderId="19" xfId="0" applyFont="1" applyFill="1" applyBorder="1" applyAlignment="1" applyProtection="1">
      <alignment horizontal="center" vertical="center" shrinkToFit="1"/>
      <protection hidden="1"/>
    </xf>
    <xf numFmtId="0" fontId="34" fillId="5" borderId="20" xfId="0" applyFont="1" applyFill="1" applyBorder="1" applyAlignment="1" applyProtection="1">
      <alignment horizontal="center" vertical="center" shrinkToFit="1"/>
      <protection hidden="1"/>
    </xf>
    <xf numFmtId="0" fontId="9" fillId="0" borderId="27" xfId="0" applyFont="1" applyBorder="1" applyAlignment="1" applyProtection="1">
      <alignment horizontal="left" vertical="center" shrinkToFit="1"/>
      <protection hidden="1"/>
    </xf>
    <xf numFmtId="0" fontId="9" fillId="0" borderId="28" xfId="0" applyFont="1" applyBorder="1" applyAlignment="1" applyProtection="1">
      <alignment horizontal="left" vertical="center" shrinkToFit="1"/>
      <protection hidden="1"/>
    </xf>
    <xf numFmtId="0" fontId="9" fillId="3" borderId="25" xfId="0" applyFont="1" applyFill="1" applyBorder="1" applyAlignment="1" applyProtection="1">
      <alignment horizontal="center" vertical="center" shrinkToFit="1"/>
      <protection hidden="1"/>
    </xf>
    <xf numFmtId="0" fontId="9" fillId="3" borderId="26" xfId="0" applyFont="1" applyFill="1" applyBorder="1" applyAlignment="1" applyProtection="1">
      <alignment horizontal="center" vertical="center" shrinkToFit="1"/>
      <protection hidden="1"/>
    </xf>
    <xf numFmtId="0" fontId="9" fillId="3" borderId="10" xfId="0" applyFont="1" applyFill="1" applyBorder="1" applyAlignment="1" applyProtection="1">
      <alignment horizontal="center" vertical="center" shrinkToFit="1"/>
      <protection hidden="1"/>
    </xf>
    <xf numFmtId="0" fontId="9" fillId="3" borderId="4" xfId="0" applyFont="1" applyFill="1" applyBorder="1" applyAlignment="1" applyProtection="1">
      <alignment horizontal="center" vertical="center" shrinkToFit="1"/>
      <protection hidden="1"/>
    </xf>
    <xf numFmtId="0" fontId="9" fillId="3" borderId="69" xfId="0" applyFont="1" applyFill="1" applyBorder="1" applyAlignment="1" applyProtection="1">
      <alignment horizontal="center" vertical="center" shrinkToFit="1"/>
      <protection hidden="1"/>
    </xf>
    <xf numFmtId="0" fontId="36" fillId="5" borderId="42" xfId="0" applyFont="1" applyFill="1" applyBorder="1" applyAlignment="1" applyProtection="1">
      <alignment horizontal="center" textRotation="90"/>
      <protection hidden="1"/>
    </xf>
    <xf numFmtId="0" fontId="36" fillId="5" borderId="32" xfId="0" applyFont="1" applyFill="1" applyBorder="1" applyAlignment="1" applyProtection="1">
      <alignment horizontal="center" textRotation="90"/>
      <protection hidden="1"/>
    </xf>
    <xf numFmtId="0" fontId="36" fillId="5" borderId="33" xfId="0" applyFont="1" applyFill="1" applyBorder="1" applyAlignment="1" applyProtection="1">
      <alignment horizontal="center" textRotation="90"/>
      <protection hidden="1"/>
    </xf>
    <xf numFmtId="0" fontId="36" fillId="5" borderId="44" xfId="0" applyFont="1" applyFill="1" applyBorder="1" applyAlignment="1" applyProtection="1">
      <alignment horizontal="center" textRotation="90"/>
      <protection hidden="1"/>
    </xf>
    <xf numFmtId="0" fontId="36" fillId="5" borderId="0" xfId="0" applyFont="1" applyFill="1" applyBorder="1" applyAlignment="1" applyProtection="1">
      <alignment horizontal="center" textRotation="90"/>
      <protection hidden="1"/>
    </xf>
    <xf numFmtId="0" fontId="36" fillId="5" borderId="34" xfId="0" applyFont="1" applyFill="1" applyBorder="1" applyAlignment="1" applyProtection="1">
      <alignment horizontal="center" textRotation="90"/>
      <protection hidden="1"/>
    </xf>
    <xf numFmtId="0" fontId="36" fillId="5" borderId="46" xfId="0" applyFont="1" applyFill="1" applyBorder="1" applyAlignment="1" applyProtection="1">
      <alignment horizontal="center" textRotation="90"/>
      <protection hidden="1"/>
    </xf>
    <xf numFmtId="0" fontId="36" fillId="5" borderId="5" xfId="0" applyFont="1" applyFill="1" applyBorder="1" applyAlignment="1" applyProtection="1">
      <alignment horizontal="center" textRotation="90"/>
      <protection hidden="1"/>
    </xf>
    <xf numFmtId="0" fontId="36" fillId="5" borderId="36" xfId="0" applyFont="1" applyFill="1" applyBorder="1" applyAlignment="1" applyProtection="1">
      <alignment horizontal="center" textRotation="90"/>
      <protection hidden="1"/>
    </xf>
    <xf numFmtId="0" fontId="36" fillId="5" borderId="43" xfId="0" applyFont="1" applyFill="1" applyBorder="1" applyAlignment="1" applyProtection="1">
      <alignment horizontal="center" textRotation="90"/>
      <protection hidden="1"/>
    </xf>
    <xf numFmtId="0" fontId="36" fillId="5" borderId="45" xfId="0" applyFont="1" applyFill="1" applyBorder="1" applyAlignment="1" applyProtection="1">
      <alignment horizontal="center" textRotation="90"/>
      <protection hidden="1"/>
    </xf>
    <xf numFmtId="0" fontId="36" fillId="5" borderId="47" xfId="0" applyFont="1" applyFill="1" applyBorder="1" applyAlignment="1" applyProtection="1">
      <alignment horizontal="center" textRotation="90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37" fillId="0" borderId="62" xfId="0" applyFont="1" applyBorder="1" applyAlignment="1" applyProtection="1">
      <alignment horizontal="center" vertical="center"/>
      <protection hidden="1"/>
    </xf>
    <xf numFmtId="0" fontId="37" fillId="0" borderId="63" xfId="0" applyFont="1" applyBorder="1" applyAlignment="1" applyProtection="1">
      <alignment horizontal="center" vertical="center"/>
      <protection hidden="1"/>
    </xf>
    <xf numFmtId="0" fontId="37" fillId="0" borderId="64" xfId="0" applyFont="1" applyBorder="1" applyAlignment="1" applyProtection="1">
      <alignment horizontal="center" vertical="center"/>
      <protection hidden="1"/>
    </xf>
    <xf numFmtId="0" fontId="37" fillId="0" borderId="59" xfId="0" applyFont="1" applyBorder="1" applyAlignment="1" applyProtection="1">
      <alignment horizontal="center" vertical="center"/>
      <protection hidden="1"/>
    </xf>
    <xf numFmtId="0" fontId="37" fillId="0" borderId="60" xfId="0" applyFont="1" applyBorder="1" applyAlignment="1" applyProtection="1">
      <alignment horizontal="center" vertical="center"/>
      <protection hidden="1"/>
    </xf>
    <xf numFmtId="0" fontId="37" fillId="0" borderId="61" xfId="0" applyFont="1" applyBorder="1" applyAlignment="1" applyProtection="1">
      <alignment horizontal="center" vertical="center"/>
      <protection hidden="1"/>
    </xf>
    <xf numFmtId="166" fontId="9" fillId="0" borderId="14" xfId="0" applyNumberFormat="1" applyFont="1" applyBorder="1" applyAlignment="1" applyProtection="1">
      <alignment horizontal="center" vertical="center" shrinkToFit="1"/>
      <protection hidden="1"/>
    </xf>
    <xf numFmtId="166" fontId="9" fillId="0" borderId="2" xfId="0" applyNumberFormat="1" applyFont="1" applyBorder="1" applyAlignment="1" applyProtection="1">
      <alignment horizontal="center" vertical="center" shrinkToFit="1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0" fontId="9" fillId="0" borderId="0" xfId="0" applyNumberFormat="1" applyFont="1" applyBorder="1" applyAlignment="1" applyProtection="1">
      <alignment horizontal="center" vertical="center"/>
      <protection hidden="1"/>
    </xf>
    <xf numFmtId="171" fontId="9" fillId="0" borderId="0" xfId="0" applyNumberFormat="1" applyFont="1" applyAlignment="1" applyProtection="1">
      <alignment horizontal="center" vertical="center"/>
      <protection hidden="1"/>
    </xf>
    <xf numFmtId="0" fontId="9" fillId="6" borderId="67" xfId="0" applyFont="1" applyFill="1" applyBorder="1" applyAlignment="1" applyProtection="1">
      <alignment horizontal="center" vertical="center"/>
      <protection hidden="1"/>
    </xf>
    <xf numFmtId="0" fontId="9" fillId="6" borderId="23" xfId="0" applyFont="1" applyFill="1" applyBorder="1" applyAlignment="1" applyProtection="1">
      <alignment horizontal="center" vertical="center"/>
      <protection hidden="1"/>
    </xf>
    <xf numFmtId="0" fontId="9" fillId="7" borderId="24" xfId="0" applyFont="1" applyFill="1" applyBorder="1" applyAlignment="1" applyProtection="1">
      <alignment horizontal="center" vertical="center"/>
      <protection hidden="1"/>
    </xf>
    <xf numFmtId="0" fontId="9" fillId="7" borderId="19" xfId="0" applyFont="1" applyFill="1" applyBorder="1" applyAlignment="1" applyProtection="1">
      <alignment horizontal="center" vertical="center"/>
      <protection hidden="1"/>
    </xf>
    <xf numFmtId="0" fontId="9" fillId="7" borderId="68" xfId="0" applyFont="1" applyFill="1" applyBorder="1" applyAlignment="1" applyProtection="1">
      <alignment horizontal="center" vertical="center"/>
      <protection hidden="1"/>
    </xf>
    <xf numFmtId="0" fontId="9" fillId="6" borderId="24" xfId="0" applyFont="1" applyFill="1" applyBorder="1" applyAlignment="1" applyProtection="1">
      <alignment horizontal="center" vertical="center"/>
      <protection hidden="1"/>
    </xf>
    <xf numFmtId="0" fontId="9" fillId="6" borderId="19" xfId="0" applyFont="1" applyFill="1" applyBorder="1" applyAlignment="1" applyProtection="1">
      <alignment horizontal="center" vertical="center"/>
      <protection hidden="1"/>
    </xf>
    <xf numFmtId="0" fontId="9" fillId="6" borderId="68" xfId="0" applyFont="1" applyFill="1" applyBorder="1" applyAlignment="1" applyProtection="1">
      <alignment horizontal="center" vertical="center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9" fillId="2" borderId="68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 shrinkToFit="1"/>
      <protection hidden="1"/>
    </xf>
    <xf numFmtId="0" fontId="10" fillId="0" borderId="3" xfId="0" applyFont="1" applyFill="1" applyBorder="1" applyAlignment="1" applyProtection="1">
      <alignment horizontal="center" vertical="center" shrinkToFit="1"/>
      <protection hidden="1"/>
    </xf>
    <xf numFmtId="0" fontId="10" fillId="0" borderId="17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hidden="1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0" fontId="9" fillId="6" borderId="18" xfId="0" applyFont="1" applyFill="1" applyBorder="1" applyAlignment="1" applyProtection="1">
      <alignment horizontal="center" vertical="center"/>
      <protection hidden="1"/>
    </xf>
    <xf numFmtId="0" fontId="9" fillId="6" borderId="20" xfId="0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69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57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56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left" vertical="center" shrinkToFit="1"/>
      <protection hidden="1"/>
    </xf>
    <xf numFmtId="0" fontId="9" fillId="0" borderId="10" xfId="0" applyFont="1" applyBorder="1" applyAlignment="1" applyProtection="1">
      <alignment horizontal="left" vertical="center" shrinkToFit="1"/>
      <protection hidden="1"/>
    </xf>
    <xf numFmtId="0" fontId="9" fillId="0" borderId="66" xfId="0" applyFont="1" applyBorder="1" applyAlignment="1" applyProtection="1">
      <alignment horizontal="left" vertical="center" shrinkToFit="1"/>
      <protection hidden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0" fontId="9" fillId="2" borderId="2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horizontal="center" vertical="center" shrinkToFit="1"/>
      <protection hidden="1"/>
    </xf>
    <xf numFmtId="0" fontId="9" fillId="0" borderId="25" xfId="0" applyFont="1" applyBorder="1" applyAlignment="1" applyProtection="1">
      <alignment horizontal="left" vertical="center" shrinkToFit="1"/>
      <protection hidden="1"/>
    </xf>
    <xf numFmtId="0" fontId="9" fillId="0" borderId="26" xfId="0" applyFont="1" applyBorder="1" applyAlignment="1" applyProtection="1">
      <alignment horizontal="left" vertical="center" shrinkToFit="1"/>
      <protection hidden="1"/>
    </xf>
    <xf numFmtId="0" fontId="36" fillId="5" borderId="31" xfId="0" applyFont="1" applyFill="1" applyBorder="1" applyAlignment="1" applyProtection="1">
      <alignment horizontal="center" textRotation="90"/>
      <protection hidden="1"/>
    </xf>
    <xf numFmtId="0" fontId="36" fillId="5" borderId="1" xfId="0" applyFont="1" applyFill="1" applyBorder="1" applyAlignment="1" applyProtection="1">
      <alignment horizontal="center" textRotation="90"/>
      <protection hidden="1"/>
    </xf>
    <xf numFmtId="0" fontId="36" fillId="5" borderId="35" xfId="0" applyFont="1" applyFill="1" applyBorder="1" applyAlignment="1" applyProtection="1">
      <alignment horizontal="center" textRotation="90"/>
      <protection hidden="1"/>
    </xf>
    <xf numFmtId="169" fontId="13" fillId="0" borderId="0" xfId="0" applyNumberFormat="1" applyFont="1" applyBorder="1" applyAlignment="1" applyProtection="1">
      <alignment horizontal="left" vertical="center"/>
      <protection hidden="1"/>
    </xf>
    <xf numFmtId="169" fontId="13" fillId="0" borderId="0" xfId="0" applyNumberFormat="1" applyFont="1" applyBorder="1" applyAlignment="1" applyProtection="1">
      <alignment horizontal="center" vertical="center"/>
      <protection hidden="1"/>
    </xf>
    <xf numFmtId="20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</cellXfs>
  <cellStyles count="2">
    <cellStyle name="Standard" xfId="0" builtinId="0"/>
    <cellStyle name="Standard 2" xfId="1" xr:uid="{7A49B63A-FA50-4752-AA87-EA2974CF137C}"/>
  </cellStyles>
  <dxfs count="84"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142875</xdr:colOff>
      <xdr:row>1</xdr:row>
      <xdr:rowOff>371475</xdr:rowOff>
    </xdr:from>
    <xdr:to>
      <xdr:col>60</xdr:col>
      <xdr:colOff>114300</xdr:colOff>
      <xdr:row>4</xdr:row>
      <xdr:rowOff>19050</xdr:rowOff>
    </xdr:to>
    <xdr:pic>
      <xdr:nvPicPr>
        <xdr:cNvPr id="1053" name="Grafik 1" descr="Ein Bild, das Text enthält.&#10;&#10;Automatisch generierte Beschreibung">
          <a:extLst>
            <a:ext uri="{FF2B5EF4-FFF2-40B4-BE49-F238E27FC236}">
              <a16:creationId xmlns:a16="http://schemas.microsoft.com/office/drawing/2014/main" id="{55087D79-DF0E-5578-B983-36054DD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66725"/>
          <a:ext cx="1828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85725</xdr:colOff>
      <xdr:row>1</xdr:row>
      <xdr:rowOff>304800</xdr:rowOff>
    </xdr:from>
    <xdr:to>
      <xdr:col>58</xdr:col>
      <xdr:colOff>104775</xdr:colOff>
      <xdr:row>3</xdr:row>
      <xdr:rowOff>161925</xdr:rowOff>
    </xdr:to>
    <xdr:pic>
      <xdr:nvPicPr>
        <xdr:cNvPr id="2089" name="Grafik 5" descr="Ein Bild, das Text enthält.&#10;&#10;Automatisch generierte Beschreibung">
          <a:extLst>
            <a:ext uri="{FF2B5EF4-FFF2-40B4-BE49-F238E27FC236}">
              <a16:creationId xmlns:a16="http://schemas.microsoft.com/office/drawing/2014/main" id="{E3D080CF-93A8-A805-7FC0-E8AB7648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400050"/>
          <a:ext cx="1876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66675</xdr:colOff>
      <xdr:row>63</xdr:row>
      <xdr:rowOff>342900</xdr:rowOff>
    </xdr:from>
    <xdr:to>
      <xdr:col>55</xdr:col>
      <xdr:colOff>133350</xdr:colOff>
      <xdr:row>65</xdr:row>
      <xdr:rowOff>76200</xdr:rowOff>
    </xdr:to>
    <xdr:pic>
      <xdr:nvPicPr>
        <xdr:cNvPr id="2090" name="Grafik 6" descr="Ein Bild, das Text enthält.&#10;&#10;Automatisch generierte Beschreibung">
          <a:extLst>
            <a:ext uri="{FF2B5EF4-FFF2-40B4-BE49-F238E27FC236}">
              <a16:creationId xmlns:a16="http://schemas.microsoft.com/office/drawing/2014/main" id="{47E9D296-29E9-4361-328D-1802D7C8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4182725"/>
          <a:ext cx="1495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1FDCD-25D2-4DB6-86EB-A930203E61B4}">
  <sheetPr codeName="Tabelle1"/>
  <dimension ref="A1:DZ397"/>
  <sheetViews>
    <sheetView showGridLines="0" showRowColHeaders="0" tabSelected="1" topLeftCell="G83" zoomScaleNormal="100" workbookViewId="0">
      <selection activeCell="BC89" sqref="BC89:BD89"/>
    </sheetView>
  </sheetViews>
  <sheetFormatPr defaultColWidth="0" defaultRowHeight="12.75" zeroHeight="1" x14ac:dyDescent="0.15"/>
  <cols>
    <col min="1" max="66" width="2.15625" style="1" customWidth="1"/>
    <col min="67" max="69" width="2.15625" style="2" customWidth="1"/>
    <col min="70" max="71" width="2.15625" style="2" hidden="1" customWidth="1"/>
    <col min="72" max="72" width="2.15625" style="3" hidden="1" customWidth="1"/>
    <col min="73" max="75" width="2.15625" style="4" hidden="1" customWidth="1"/>
    <col min="76" max="76" width="2.15625" style="3" hidden="1" customWidth="1"/>
    <col min="77" max="81" width="2.15625" style="4" hidden="1" customWidth="1"/>
    <col min="82" max="86" width="2.15625" style="2" hidden="1" customWidth="1"/>
    <col min="87" max="90" width="2.15625" style="5" hidden="1" customWidth="1"/>
    <col min="91" max="16384" width="2.15625" style="1" hidden="1"/>
  </cols>
  <sheetData>
    <row r="1" spans="2:115" ht="7.5" customHeight="1" x14ac:dyDescent="0.15"/>
    <row r="2" spans="2:115" ht="33.75" x14ac:dyDescent="0.15">
      <c r="C2" s="363" t="s">
        <v>78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115" s="7" customFormat="1" ht="27" x14ac:dyDescent="0.15">
      <c r="C3" s="362" t="s">
        <v>81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Z3" s="382" t="s">
        <v>61</v>
      </c>
      <c r="BA3" s="382"/>
      <c r="BB3" s="382"/>
      <c r="BC3" s="382"/>
      <c r="BD3" s="382"/>
      <c r="BE3" s="382"/>
      <c r="BF3" s="382"/>
      <c r="BG3" s="382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2:115" s="11" customFormat="1" ht="14.25" x14ac:dyDescent="0.15"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2:115" s="11" customFormat="1" ht="6.4" customHeight="1" x14ac:dyDescent="0.15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2:115" s="17" customFormat="1" ht="13.5" x14ac:dyDescent="0.15">
      <c r="C6" s="364">
        <v>45465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2:115" s="11" customFormat="1" ht="6.4" customHeight="1" x14ac:dyDescent="0.15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2:115" s="22" customFormat="1" ht="13.5" x14ac:dyDescent="0.15">
      <c r="C8" s="360" t="s">
        <v>82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2:115" s="11" customFormat="1" ht="6.4" customHeight="1" x14ac:dyDescent="0.15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115" s="11" customFormat="1" ht="18" customHeight="1" x14ac:dyDescent="0.15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 x14ac:dyDescent="0.15">
      <c r="B11" s="381" t="s">
        <v>62</v>
      </c>
      <c r="C11" s="381"/>
      <c r="D11" s="381"/>
      <c r="E11" s="381"/>
      <c r="F11" s="381"/>
      <c r="G11" s="381"/>
      <c r="H11" s="200">
        <v>0.4375</v>
      </c>
      <c r="I11" s="200"/>
      <c r="J11" s="200"/>
      <c r="K11" s="200"/>
      <c r="L11" s="17" t="s">
        <v>0</v>
      </c>
      <c r="T11" s="45" t="s">
        <v>1</v>
      </c>
      <c r="U11" s="201">
        <v>1</v>
      </c>
      <c r="V11" s="201"/>
      <c r="W11" s="46" t="s">
        <v>2</v>
      </c>
      <c r="X11" s="202">
        <v>18</v>
      </c>
      <c r="Y11" s="202"/>
      <c r="Z11" s="202"/>
      <c r="AA11" s="202"/>
      <c r="AB11" s="202"/>
      <c r="AC11" s="374" t="str">
        <f>IF(U11=2,"Halbzeit:","")</f>
        <v/>
      </c>
      <c r="AD11" s="374"/>
      <c r="AE11" s="374"/>
      <c r="AF11" s="374"/>
      <c r="AG11" s="374"/>
      <c r="AH11" s="374"/>
      <c r="AI11" s="202"/>
      <c r="AJ11" s="202"/>
      <c r="AK11" s="202"/>
      <c r="AL11" s="202"/>
      <c r="AM11" s="202"/>
      <c r="AN11" s="381" t="s">
        <v>3</v>
      </c>
      <c r="AO11" s="381"/>
      <c r="AP11" s="381"/>
      <c r="AQ11" s="381"/>
      <c r="AR11" s="381"/>
      <c r="AS11" s="381"/>
      <c r="AT11" s="381"/>
      <c r="AU11" s="381"/>
      <c r="AV11" s="381"/>
      <c r="AW11" s="197">
        <v>2</v>
      </c>
      <c r="AX11" s="197"/>
      <c r="AY11" s="197"/>
      <c r="AZ11" s="197"/>
      <c r="BA11" s="197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 x14ac:dyDescent="0.15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 x14ac:dyDescent="0.15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 x14ac:dyDescent="0.15">
      <c r="B14" s="381" t="s">
        <v>62</v>
      </c>
      <c r="C14" s="381"/>
      <c r="D14" s="381"/>
      <c r="E14" s="381"/>
      <c r="F14" s="381"/>
      <c r="G14" s="381"/>
      <c r="H14" s="200">
        <f>H38+TEXT(2*$U$11*($X$11/1440)+($AI$11/1440)+($AW$11/1440),"hh:mm")</f>
        <v>0.61666666666666636</v>
      </c>
      <c r="I14" s="200"/>
      <c r="J14" s="200"/>
      <c r="K14" s="200"/>
      <c r="L14" s="17" t="s">
        <v>0</v>
      </c>
      <c r="T14" s="45" t="s">
        <v>1</v>
      </c>
      <c r="U14" s="201">
        <f>U11</f>
        <v>1</v>
      </c>
      <c r="V14" s="201"/>
      <c r="W14" s="46" t="s">
        <v>2</v>
      </c>
      <c r="X14" s="202">
        <f>X11</f>
        <v>18</v>
      </c>
      <c r="Y14" s="202"/>
      <c r="Z14" s="202"/>
      <c r="AA14" s="202"/>
      <c r="AB14" s="202"/>
      <c r="AC14" s="374" t="str">
        <f>IF(U14=2,"Halbzeit:","")</f>
        <v/>
      </c>
      <c r="AD14" s="374"/>
      <c r="AE14" s="374"/>
      <c r="AF14" s="374"/>
      <c r="AG14" s="374"/>
      <c r="AH14" s="374"/>
      <c r="AI14" s="409">
        <f>AI11</f>
        <v>0</v>
      </c>
      <c r="AJ14" s="409"/>
      <c r="AK14" s="409"/>
      <c r="AL14" s="409"/>
      <c r="AM14" s="409"/>
      <c r="AN14" s="381" t="s">
        <v>3</v>
      </c>
      <c r="AO14" s="381"/>
      <c r="AP14" s="381"/>
      <c r="AQ14" s="381"/>
      <c r="AR14" s="381"/>
      <c r="AS14" s="381"/>
      <c r="AT14" s="381"/>
      <c r="AU14" s="381"/>
      <c r="AV14" s="381"/>
      <c r="AW14" s="197">
        <f>AW11</f>
        <v>2</v>
      </c>
      <c r="AX14" s="197"/>
      <c r="AY14" s="197"/>
      <c r="AZ14" s="197"/>
      <c r="BA14" s="197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 x14ac:dyDescent="0.15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2:115" s="22" customFormat="1" ht="13.5" x14ac:dyDescent="0.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spans="3:80" ht="10.15" customHeight="1" thickBot="1" x14ac:dyDescent="0.2"/>
    <row r="18" spans="3:80" s="22" customFormat="1" ht="14.25" thickBot="1" x14ac:dyDescent="0.2">
      <c r="D18" s="378" t="s">
        <v>5</v>
      </c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80"/>
      <c r="AC18" s="375" t="s">
        <v>6</v>
      </c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7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 x14ac:dyDescent="0.15">
      <c r="C19" s="117">
        <v>1</v>
      </c>
      <c r="D19" s="371" t="s">
        <v>83</v>
      </c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3"/>
      <c r="Y19" s="156" t="s">
        <v>58</v>
      </c>
      <c r="AB19" s="117">
        <v>1</v>
      </c>
      <c r="AC19" s="371" t="s">
        <v>79</v>
      </c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3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 x14ac:dyDescent="0.15">
      <c r="C20" s="117">
        <v>2</v>
      </c>
      <c r="D20" s="368" t="s">
        <v>84</v>
      </c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70"/>
      <c r="Y20" s="156" t="s">
        <v>59</v>
      </c>
      <c r="AB20" s="117">
        <v>2</v>
      </c>
      <c r="AC20" s="368" t="s">
        <v>88</v>
      </c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70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 x14ac:dyDescent="0.15">
      <c r="C21" s="117">
        <v>3</v>
      </c>
      <c r="D21" s="368" t="s">
        <v>85</v>
      </c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70"/>
      <c r="Y21" s="156" t="s">
        <v>60</v>
      </c>
      <c r="AB21" s="117">
        <v>3</v>
      </c>
      <c r="AC21" s="368" t="s">
        <v>80</v>
      </c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70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 x14ac:dyDescent="0.2">
      <c r="C22" s="117">
        <v>4</v>
      </c>
      <c r="D22" s="365" t="s">
        <v>89</v>
      </c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7"/>
      <c r="AB22" s="117">
        <v>4</v>
      </c>
      <c r="AC22" s="365" t="s">
        <v>86</v>
      </c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7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pans="3:80" s="22" customFormat="1" ht="13.5" x14ac:dyDescent="0.15"/>
    <row r="24" spans="3:80" s="22" customFormat="1" ht="14.45" customHeight="1" x14ac:dyDescent="0.15">
      <c r="C24" s="31" t="s">
        <v>8</v>
      </c>
    </row>
    <row r="25" spans="3:80" s="22" customFormat="1" ht="18" customHeight="1" thickBot="1" x14ac:dyDescent="0.2"/>
    <row r="26" spans="3:80" s="22" customFormat="1" ht="18" customHeight="1" thickBot="1" x14ac:dyDescent="0.2">
      <c r="C26" s="347" t="s">
        <v>9</v>
      </c>
      <c r="D26" s="348"/>
      <c r="E26" s="203" t="s">
        <v>10</v>
      </c>
      <c r="F26" s="204"/>
      <c r="G26" s="205"/>
      <c r="H26" s="203" t="s">
        <v>63</v>
      </c>
      <c r="I26" s="204"/>
      <c r="J26" s="204"/>
      <c r="K26" s="205"/>
      <c r="L26" s="203" t="s">
        <v>11</v>
      </c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5"/>
      <c r="BC26" s="203" t="s">
        <v>12</v>
      </c>
      <c r="BD26" s="204"/>
      <c r="BE26" s="204"/>
      <c r="BF26" s="204"/>
      <c r="BG26" s="204"/>
      <c r="BH26" s="118"/>
    </row>
    <row r="27" spans="3:80" s="22" customFormat="1" ht="18" customHeight="1" x14ac:dyDescent="0.15">
      <c r="C27" s="358">
        <v>1</v>
      </c>
      <c r="D27" s="359"/>
      <c r="E27" s="359" t="s">
        <v>13</v>
      </c>
      <c r="F27" s="359"/>
      <c r="G27" s="359"/>
      <c r="H27" s="283">
        <f>$H$11</f>
        <v>0.4375</v>
      </c>
      <c r="I27" s="284"/>
      <c r="J27" s="284"/>
      <c r="K27" s="285"/>
      <c r="L27" s="270" t="str">
        <f>$D$19</f>
        <v>SSC Donaueschingen</v>
      </c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120" t="s">
        <v>14</v>
      </c>
      <c r="AH27" s="271" t="str">
        <f>$D$20</f>
        <v>FC Pfaffenweiler</v>
      </c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2"/>
      <c r="BC27" s="269">
        <v>0</v>
      </c>
      <c r="BD27" s="357"/>
      <c r="BE27" s="357"/>
      <c r="BF27" s="276">
        <v>0</v>
      </c>
      <c r="BG27" s="276"/>
      <c r="BH27" s="121"/>
    </row>
    <row r="28" spans="3:80" s="22" customFormat="1" ht="18" customHeight="1" thickBot="1" x14ac:dyDescent="0.2">
      <c r="C28" s="330">
        <v>2</v>
      </c>
      <c r="D28" s="331"/>
      <c r="E28" s="331" t="s">
        <v>13</v>
      </c>
      <c r="F28" s="331"/>
      <c r="G28" s="331"/>
      <c r="H28" s="280">
        <f>H27+TEXT($U$11*($X$11/1440)+($AI$11/1440)+($AW$11/1440),"hh:mm")</f>
        <v>0.4513888888888889</v>
      </c>
      <c r="I28" s="281"/>
      <c r="J28" s="281"/>
      <c r="K28" s="282"/>
      <c r="L28" s="219" t="str">
        <f>$D$21</f>
        <v>Offenburger FV</v>
      </c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109" t="s">
        <v>14</v>
      </c>
      <c r="AH28" s="220" t="str">
        <f>$D$22</f>
        <v>FV Lörrach-Brombach</v>
      </c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89"/>
      <c r="BC28" s="223">
        <v>3</v>
      </c>
      <c r="BD28" s="224"/>
      <c r="BE28" s="224"/>
      <c r="BF28" s="353">
        <v>0</v>
      </c>
      <c r="BG28" s="354"/>
      <c r="BH28" s="121"/>
    </row>
    <row r="29" spans="3:80" s="22" customFormat="1" ht="18" customHeight="1" x14ac:dyDescent="0.15">
      <c r="C29" s="332">
        <v>3</v>
      </c>
      <c r="D29" s="329"/>
      <c r="E29" s="329" t="s">
        <v>15</v>
      </c>
      <c r="F29" s="329"/>
      <c r="G29" s="329"/>
      <c r="H29" s="277">
        <f t="shared" ref="H29:H37" si="0">H28+TEXT($U$11*($X$11/1440)+($AI$11/1440)+($AW$11/1440),"hh:mm")</f>
        <v>0.46527777777777779</v>
      </c>
      <c r="I29" s="278"/>
      <c r="J29" s="278"/>
      <c r="K29" s="279"/>
      <c r="L29" s="221" t="str">
        <f>$AC$19</f>
        <v>FC 08 Villingen</v>
      </c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191" t="s">
        <v>14</v>
      </c>
      <c r="AH29" s="222" t="str">
        <f>$AC$20</f>
        <v>SF Eintracht Freiburg</v>
      </c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86"/>
      <c r="BC29" s="227">
        <v>3</v>
      </c>
      <c r="BD29" s="228"/>
      <c r="BE29" s="228"/>
      <c r="BF29" s="225">
        <v>0</v>
      </c>
      <c r="BG29" s="225"/>
      <c r="BH29" s="121"/>
    </row>
    <row r="30" spans="3:80" s="22" customFormat="1" ht="18" customHeight="1" thickBot="1" x14ac:dyDescent="0.2">
      <c r="C30" s="330">
        <v>4</v>
      </c>
      <c r="D30" s="331"/>
      <c r="E30" s="331" t="s">
        <v>15</v>
      </c>
      <c r="F30" s="331"/>
      <c r="G30" s="331"/>
      <c r="H30" s="280">
        <f t="shared" si="0"/>
        <v>0.47916666666666669</v>
      </c>
      <c r="I30" s="281"/>
      <c r="J30" s="281"/>
      <c r="K30" s="282"/>
      <c r="L30" s="219" t="str">
        <f>$AC$21</f>
        <v>SV 08 Kuppenheim</v>
      </c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109" t="s">
        <v>14</v>
      </c>
      <c r="AH30" s="220" t="str">
        <f>$AC$22</f>
        <v>SC Pfullendorf</v>
      </c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89"/>
      <c r="BC30" s="223">
        <v>0</v>
      </c>
      <c r="BD30" s="224"/>
      <c r="BE30" s="224"/>
      <c r="BF30" s="353">
        <v>1</v>
      </c>
      <c r="BG30" s="354"/>
      <c r="BH30" s="121"/>
    </row>
    <row r="31" spans="3:80" s="22" customFormat="1" ht="18" customHeight="1" x14ac:dyDescent="0.15">
      <c r="C31" s="332">
        <v>5</v>
      </c>
      <c r="D31" s="329"/>
      <c r="E31" s="329" t="s">
        <v>13</v>
      </c>
      <c r="F31" s="329"/>
      <c r="G31" s="329"/>
      <c r="H31" s="277">
        <f t="shared" si="0"/>
        <v>0.49305555555555558</v>
      </c>
      <c r="I31" s="278"/>
      <c r="J31" s="278"/>
      <c r="K31" s="279"/>
      <c r="L31" s="221" t="str">
        <f>$D$19</f>
        <v>SSC Donaueschingen</v>
      </c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191" t="s">
        <v>14</v>
      </c>
      <c r="AH31" s="222" t="str">
        <f>$D$21</f>
        <v>Offenburger FV</v>
      </c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86"/>
      <c r="BC31" s="227">
        <v>0</v>
      </c>
      <c r="BD31" s="228"/>
      <c r="BE31" s="228"/>
      <c r="BF31" s="225">
        <v>0</v>
      </c>
      <c r="BG31" s="225"/>
      <c r="BH31" s="121"/>
    </row>
    <row r="32" spans="3:80" s="22" customFormat="1" ht="18" customHeight="1" thickBot="1" x14ac:dyDescent="0.2">
      <c r="C32" s="330">
        <v>6</v>
      </c>
      <c r="D32" s="331"/>
      <c r="E32" s="331" t="s">
        <v>13</v>
      </c>
      <c r="F32" s="331"/>
      <c r="G32" s="331"/>
      <c r="H32" s="280">
        <f t="shared" si="0"/>
        <v>0.50694444444444442</v>
      </c>
      <c r="I32" s="281"/>
      <c r="J32" s="281"/>
      <c r="K32" s="282"/>
      <c r="L32" s="219" t="str">
        <f>$D$20</f>
        <v>FC Pfaffenweiler</v>
      </c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109" t="s">
        <v>14</v>
      </c>
      <c r="AH32" s="220" t="str">
        <f>$D$22</f>
        <v>FV Lörrach-Brombach</v>
      </c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89"/>
      <c r="BC32" s="223">
        <v>0</v>
      </c>
      <c r="BD32" s="224"/>
      <c r="BE32" s="224"/>
      <c r="BF32" s="353">
        <v>1</v>
      </c>
      <c r="BG32" s="354"/>
      <c r="BH32" s="121"/>
    </row>
    <row r="33" spans="1:130" s="22" customFormat="1" ht="18" customHeight="1" x14ac:dyDescent="0.15">
      <c r="C33" s="332">
        <v>7</v>
      </c>
      <c r="D33" s="329"/>
      <c r="E33" s="329" t="s">
        <v>15</v>
      </c>
      <c r="F33" s="329"/>
      <c r="G33" s="329"/>
      <c r="H33" s="277">
        <f t="shared" si="0"/>
        <v>0.52083333333333326</v>
      </c>
      <c r="I33" s="278"/>
      <c r="J33" s="278"/>
      <c r="K33" s="279"/>
      <c r="L33" s="221" t="str">
        <f>$AC$19</f>
        <v>FC 08 Villingen</v>
      </c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191" t="s">
        <v>14</v>
      </c>
      <c r="AH33" s="222" t="str">
        <f>$AC$21</f>
        <v>SV 08 Kuppenheim</v>
      </c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86"/>
      <c r="BC33" s="227">
        <v>1</v>
      </c>
      <c r="BD33" s="228"/>
      <c r="BE33" s="228"/>
      <c r="BF33" s="225">
        <v>0</v>
      </c>
      <c r="BG33" s="225"/>
      <c r="BH33" s="121"/>
    </row>
    <row r="34" spans="1:130" s="22" customFormat="1" ht="18" customHeight="1" thickBot="1" x14ac:dyDescent="0.2">
      <c r="C34" s="330">
        <v>8</v>
      </c>
      <c r="D34" s="331"/>
      <c r="E34" s="331" t="s">
        <v>15</v>
      </c>
      <c r="F34" s="331"/>
      <c r="G34" s="331"/>
      <c r="H34" s="280">
        <f t="shared" si="0"/>
        <v>0.5347222222222221</v>
      </c>
      <c r="I34" s="281"/>
      <c r="J34" s="281"/>
      <c r="K34" s="282"/>
      <c r="L34" s="219" t="str">
        <f>$AC$20</f>
        <v>SF Eintracht Freiburg</v>
      </c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109" t="s">
        <v>14</v>
      </c>
      <c r="AH34" s="220" t="str">
        <f>$AC$22</f>
        <v>SC Pfullendorf</v>
      </c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89"/>
      <c r="BC34" s="223">
        <v>0</v>
      </c>
      <c r="BD34" s="224"/>
      <c r="BE34" s="224"/>
      <c r="BF34" s="353">
        <v>1</v>
      </c>
      <c r="BG34" s="354"/>
      <c r="BH34" s="121"/>
    </row>
    <row r="35" spans="1:130" s="22" customFormat="1" ht="18" customHeight="1" x14ac:dyDescent="0.15">
      <c r="C35" s="332">
        <v>9</v>
      </c>
      <c r="D35" s="329"/>
      <c r="E35" s="329" t="s">
        <v>13</v>
      </c>
      <c r="F35" s="329"/>
      <c r="G35" s="329"/>
      <c r="H35" s="277">
        <f t="shared" si="0"/>
        <v>0.54861111111111094</v>
      </c>
      <c r="I35" s="278"/>
      <c r="J35" s="278"/>
      <c r="K35" s="279"/>
      <c r="L35" s="221" t="str">
        <f>$D$22</f>
        <v>FV Lörrach-Brombach</v>
      </c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191" t="s">
        <v>14</v>
      </c>
      <c r="AH35" s="222" t="str">
        <f>$D$19</f>
        <v>SSC Donaueschingen</v>
      </c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86"/>
      <c r="BC35" s="227">
        <v>1</v>
      </c>
      <c r="BD35" s="228"/>
      <c r="BE35" s="228"/>
      <c r="BF35" s="225">
        <v>0</v>
      </c>
      <c r="BG35" s="225"/>
      <c r="BH35" s="121"/>
    </row>
    <row r="36" spans="1:130" s="22" customFormat="1" ht="18" customHeight="1" thickBot="1" x14ac:dyDescent="0.2">
      <c r="C36" s="330">
        <v>10</v>
      </c>
      <c r="D36" s="331"/>
      <c r="E36" s="331" t="s">
        <v>13</v>
      </c>
      <c r="F36" s="331"/>
      <c r="G36" s="331"/>
      <c r="H36" s="280">
        <f t="shared" si="0"/>
        <v>0.56249999999999978</v>
      </c>
      <c r="I36" s="281"/>
      <c r="J36" s="281"/>
      <c r="K36" s="282"/>
      <c r="L36" s="219" t="str">
        <f>$D$21</f>
        <v>Offenburger FV</v>
      </c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109" t="s">
        <v>14</v>
      </c>
      <c r="AH36" s="220" t="str">
        <f>$D$20</f>
        <v>FC Pfaffenweiler</v>
      </c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89"/>
      <c r="BC36" s="223">
        <v>1</v>
      </c>
      <c r="BD36" s="224"/>
      <c r="BE36" s="224"/>
      <c r="BF36" s="353">
        <v>1</v>
      </c>
      <c r="BG36" s="354"/>
      <c r="BH36" s="121"/>
    </row>
    <row r="37" spans="1:130" s="22" customFormat="1" ht="18" customHeight="1" x14ac:dyDescent="0.15">
      <c r="C37" s="332">
        <v>11</v>
      </c>
      <c r="D37" s="329"/>
      <c r="E37" s="329" t="s">
        <v>15</v>
      </c>
      <c r="F37" s="329"/>
      <c r="G37" s="329"/>
      <c r="H37" s="277">
        <f t="shared" si="0"/>
        <v>0.57638888888888862</v>
      </c>
      <c r="I37" s="278"/>
      <c r="J37" s="278"/>
      <c r="K37" s="279"/>
      <c r="L37" s="221" t="str">
        <f>$AC$22</f>
        <v>SC Pfullendorf</v>
      </c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191" t="s">
        <v>14</v>
      </c>
      <c r="AH37" s="222" t="str">
        <f>$AC$19</f>
        <v>FC 08 Villingen</v>
      </c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86"/>
      <c r="BC37" s="227">
        <v>0</v>
      </c>
      <c r="BD37" s="228"/>
      <c r="BE37" s="228"/>
      <c r="BF37" s="225">
        <v>0</v>
      </c>
      <c r="BG37" s="225"/>
      <c r="BH37" s="121"/>
    </row>
    <row r="38" spans="1:130" s="22" customFormat="1" ht="18" customHeight="1" thickBot="1" x14ac:dyDescent="0.2">
      <c r="C38" s="330">
        <v>12</v>
      </c>
      <c r="D38" s="331"/>
      <c r="E38" s="331" t="s">
        <v>15</v>
      </c>
      <c r="F38" s="331"/>
      <c r="G38" s="331"/>
      <c r="H38" s="280">
        <f>H37+TEXT($U$11*($X$11/1440)+($AI$11/1440)+($AW$11/1440),"hh:mm")</f>
        <v>0.59027777777777746</v>
      </c>
      <c r="I38" s="281"/>
      <c r="J38" s="281"/>
      <c r="K38" s="282"/>
      <c r="L38" s="219" t="str">
        <f>$AC$21</f>
        <v>SV 08 Kuppenheim</v>
      </c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109" t="s">
        <v>14</v>
      </c>
      <c r="AH38" s="220" t="str">
        <f>$AC$20</f>
        <v>SF Eintracht Freiburg</v>
      </c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89"/>
      <c r="BC38" s="223">
        <v>2</v>
      </c>
      <c r="BD38" s="224"/>
      <c r="BE38" s="224"/>
      <c r="BF38" s="353">
        <v>3</v>
      </c>
      <c r="BG38" s="353"/>
      <c r="BH38" s="121"/>
      <c r="DY38" s="131"/>
      <c r="DZ38" s="131"/>
    </row>
    <row r="39" spans="1:130" s="22" customFormat="1" ht="18" customHeight="1" x14ac:dyDescent="0.15"/>
    <row r="40" spans="1:130" s="22" customFormat="1" ht="20.25" customHeight="1" thickBot="1" x14ac:dyDescent="0.2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1:130" s="22" customFormat="1" ht="18" customHeight="1" x14ac:dyDescent="0.15">
      <c r="C41" s="32"/>
      <c r="D41" s="32"/>
      <c r="E41" s="32"/>
      <c r="F41" s="32"/>
      <c r="G41" s="32"/>
      <c r="H41" s="32"/>
      <c r="I41" s="32"/>
      <c r="K41" s="31"/>
      <c r="AH41" s="391" t="str">
        <f>M49</f>
        <v>FV Lörrach-Brombach</v>
      </c>
      <c r="AI41" s="392"/>
      <c r="AJ41" s="393"/>
      <c r="AK41" s="403" t="str">
        <f>M50</f>
        <v>Offenburger FV</v>
      </c>
      <c r="AL41" s="392"/>
      <c r="AM41" s="393"/>
      <c r="AN41" s="403" t="str">
        <f>M51</f>
        <v>FC Pfaffenweiler</v>
      </c>
      <c r="AO41" s="392"/>
      <c r="AP41" s="393"/>
      <c r="AQ41" s="403" t="str">
        <f>M52</f>
        <v>SSC Donaueschingen</v>
      </c>
      <c r="AR41" s="392"/>
      <c r="AS41" s="404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1:130" s="22" customFormat="1" ht="18" customHeight="1" x14ac:dyDescent="0.15">
      <c r="C42" s="32"/>
      <c r="D42" s="32"/>
      <c r="E42" s="32"/>
      <c r="F42" s="32"/>
      <c r="G42" s="32"/>
      <c r="H42" s="32"/>
      <c r="I42" s="32"/>
      <c r="K42" s="31"/>
      <c r="AH42" s="394"/>
      <c r="AI42" s="395"/>
      <c r="AJ42" s="396"/>
      <c r="AK42" s="405"/>
      <c r="AL42" s="395"/>
      <c r="AM42" s="396"/>
      <c r="AN42" s="405"/>
      <c r="AO42" s="395"/>
      <c r="AP42" s="396"/>
      <c r="AQ42" s="405"/>
      <c r="AR42" s="395"/>
      <c r="AS42" s="406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130" s="22" customFormat="1" ht="18" customHeight="1" x14ac:dyDescent="0.15">
      <c r="A43" s="119"/>
      <c r="C43" s="32"/>
      <c r="D43" s="32"/>
      <c r="E43" s="32"/>
      <c r="F43" s="32"/>
      <c r="G43" s="32"/>
      <c r="H43" s="32"/>
      <c r="I43" s="32"/>
      <c r="K43" s="31"/>
      <c r="AH43" s="394"/>
      <c r="AI43" s="395"/>
      <c r="AJ43" s="396"/>
      <c r="AK43" s="405"/>
      <c r="AL43" s="395"/>
      <c r="AM43" s="396"/>
      <c r="AN43" s="405"/>
      <c r="AO43" s="395"/>
      <c r="AP43" s="396"/>
      <c r="AQ43" s="405"/>
      <c r="AR43" s="395"/>
      <c r="AS43" s="406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130" s="22" customFormat="1" ht="18" customHeight="1" x14ac:dyDescent="0.15">
      <c r="A44" s="122"/>
      <c r="C44" s="32"/>
      <c r="D44" s="32"/>
      <c r="E44" s="32"/>
      <c r="F44" s="32"/>
      <c r="G44" s="32"/>
      <c r="H44" s="32"/>
      <c r="I44" s="32"/>
      <c r="K44" s="31"/>
      <c r="AH44" s="394"/>
      <c r="AI44" s="395"/>
      <c r="AJ44" s="396"/>
      <c r="AK44" s="405"/>
      <c r="AL44" s="395"/>
      <c r="AM44" s="396"/>
      <c r="AN44" s="405"/>
      <c r="AO44" s="395"/>
      <c r="AP44" s="396"/>
      <c r="AQ44" s="405"/>
      <c r="AR44" s="395"/>
      <c r="AS44" s="406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30" s="22" customFormat="1" ht="18" customHeight="1" x14ac:dyDescent="0.15">
      <c r="A45" s="122"/>
      <c r="C45" s="32"/>
      <c r="D45" s="32"/>
      <c r="E45" s="32"/>
      <c r="F45" s="32"/>
      <c r="G45" s="32"/>
      <c r="H45" s="32"/>
      <c r="I45" s="32"/>
      <c r="K45" s="31"/>
      <c r="AH45" s="394"/>
      <c r="AI45" s="395"/>
      <c r="AJ45" s="396"/>
      <c r="AK45" s="405"/>
      <c r="AL45" s="395"/>
      <c r="AM45" s="396"/>
      <c r="AN45" s="405"/>
      <c r="AO45" s="395"/>
      <c r="AP45" s="396"/>
      <c r="AQ45" s="405"/>
      <c r="AR45" s="395"/>
      <c r="AS45" s="406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130" s="22" customFormat="1" ht="18" customHeight="1" x14ac:dyDescent="0.15">
      <c r="A46" s="122"/>
      <c r="C46" s="32"/>
      <c r="D46" s="32"/>
      <c r="E46" s="32"/>
      <c r="F46" s="32"/>
      <c r="G46" s="32"/>
      <c r="H46" s="32"/>
      <c r="I46" s="32"/>
      <c r="K46" s="31"/>
      <c r="AH46" s="394"/>
      <c r="AI46" s="395"/>
      <c r="AJ46" s="396"/>
      <c r="AK46" s="405"/>
      <c r="AL46" s="395"/>
      <c r="AM46" s="396"/>
      <c r="AN46" s="405"/>
      <c r="AO46" s="395"/>
      <c r="AP46" s="396"/>
      <c r="AQ46" s="405"/>
      <c r="AR46" s="395"/>
      <c r="AS46" s="406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30" s="22" customFormat="1" ht="18" customHeight="1" thickBot="1" x14ac:dyDescent="0.2">
      <c r="A47" s="122"/>
      <c r="C47" s="350" t="s">
        <v>16</v>
      </c>
      <c r="D47" s="351"/>
      <c r="E47" s="351"/>
      <c r="F47" s="351"/>
      <c r="G47" s="351"/>
      <c r="H47" s="351"/>
      <c r="I47" s="352"/>
      <c r="AH47" s="394"/>
      <c r="AI47" s="395"/>
      <c r="AJ47" s="396"/>
      <c r="AK47" s="405"/>
      <c r="AL47" s="395"/>
      <c r="AM47" s="396"/>
      <c r="AN47" s="405"/>
      <c r="AO47" s="395"/>
      <c r="AP47" s="396"/>
      <c r="AQ47" s="405"/>
      <c r="AR47" s="395"/>
      <c r="AS47" s="406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130" s="22" customFormat="1" ht="18" customHeight="1" thickBot="1" x14ac:dyDescent="0.2">
      <c r="A48" s="122"/>
      <c r="C48" s="231" t="s">
        <v>17</v>
      </c>
      <c r="D48" s="232"/>
      <c r="E48" s="232"/>
      <c r="F48" s="233"/>
      <c r="G48" s="231" t="s">
        <v>18</v>
      </c>
      <c r="H48" s="232"/>
      <c r="I48" s="233"/>
      <c r="K48" s="414" t="str">
        <f>IF(' '!L9=0,D18,IF(' '!B9&lt;&gt;' '!L9,"es liegen nicht alle Ergebnisse vor",D18))</f>
        <v>Gruppe A</v>
      </c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2"/>
      <c r="AH48" s="397"/>
      <c r="AI48" s="398"/>
      <c r="AJ48" s="399"/>
      <c r="AK48" s="407"/>
      <c r="AL48" s="398"/>
      <c r="AM48" s="399"/>
      <c r="AN48" s="407"/>
      <c r="AO48" s="398"/>
      <c r="AP48" s="399"/>
      <c r="AQ48" s="407"/>
      <c r="AR48" s="398"/>
      <c r="AS48" s="408"/>
      <c r="AT48" s="321" t="s">
        <v>19</v>
      </c>
      <c r="AU48" s="321"/>
      <c r="AV48" s="336"/>
      <c r="AW48" s="320" t="s">
        <v>20</v>
      </c>
      <c r="AX48" s="321"/>
      <c r="AY48" s="336"/>
      <c r="AZ48" s="320" t="s">
        <v>21</v>
      </c>
      <c r="BA48" s="321"/>
      <c r="BB48" s="336"/>
      <c r="BC48" s="320" t="s">
        <v>22</v>
      </c>
      <c r="BD48" s="321"/>
      <c r="BE48" s="336"/>
      <c r="BF48" s="323" t="s">
        <v>23</v>
      </c>
      <c r="BG48" s="323"/>
      <c r="BH48" s="323"/>
      <c r="BI48" s="323"/>
      <c r="BJ48" s="323"/>
      <c r="BK48" s="323" t="s">
        <v>24</v>
      </c>
      <c r="BL48" s="323"/>
      <c r="BM48" s="320"/>
      <c r="BN48" s="320" t="s">
        <v>25</v>
      </c>
      <c r="BO48" s="321"/>
      <c r="BP48" s="322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94" s="22" customFormat="1" ht="18" customHeight="1" x14ac:dyDescent="0.15">
      <c r="A49" s="122"/>
      <c r="C49" s="243"/>
      <c r="D49" s="243"/>
      <c r="E49" s="243"/>
      <c r="F49" s="243"/>
      <c r="G49" s="243"/>
      <c r="H49" s="243"/>
      <c r="I49" s="243"/>
      <c r="K49" s="309">
        <f>IF(' '!$L$9=0,"",1)</f>
        <v>1</v>
      </c>
      <c r="L49" s="310"/>
      <c r="M49" s="419" t="str">
        <f>IF(' '!$L$9=0,D19,VLOOKUP(' '!B5,' '!$C$5:$O$8,4,0))</f>
        <v>FV Lörrach-Brombach</v>
      </c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383"/>
      <c r="AI49" s="383"/>
      <c r="AJ49" s="384"/>
      <c r="AK49" s="304" t="str">
        <f>IF(AND(M49&amp;$AK$41=VLOOKUP(M49&amp;$AK$41,' '!$D$23:$H$46,1,0),VLOOKUP(M49&amp;$AK$41,' '!$D$23:$H$46,4,0)&lt;&gt;""),VLOOKUP(M49&amp;$AK$41,' '!$D$23:$H$46,4,0),VLOOKUP(M49&amp;$AK$41,' '!$D$23:$H$46,5,0))</f>
        <v>0:3</v>
      </c>
      <c r="AL49" s="304"/>
      <c r="AM49" s="304"/>
      <c r="AN49" s="304" t="str">
        <f>IF(AND(M49&amp;$AN$41=VLOOKUP(M49&amp;$AN$41,' '!$D$23:$H$46,1,0),VLOOKUP(M49&amp;$AN$41,' '!$D$23:$H$46,4,0)&lt;&gt;""),VLOOKUP(M49&amp;$AN$41,' '!$D$23:$H$46,4,0),VLOOKUP(M49&amp;$AN$41,' '!$D$23:$H$46,5,0))</f>
        <v>1:0</v>
      </c>
      <c r="AO49" s="304"/>
      <c r="AP49" s="304"/>
      <c r="AQ49" s="273" t="str">
        <f>IF(AND(M49&amp;$AQ$41=VLOOKUP(M49&amp;$AQ$41,' '!$D$23:$H$46,1,0),VLOOKUP(M49&amp;$AQ$41,' '!$D$23:$H$46,4,0)&lt;&gt;""),VLOOKUP(M49&amp;$AQ$41,' '!$D$23:$H$46,4,0),VLOOKUP(M49&amp;$AQ$41,' '!$D$23:$H$46,5,0))</f>
        <v>1:0</v>
      </c>
      <c r="AR49" s="274"/>
      <c r="AS49" s="274"/>
      <c r="AT49" s="274">
        <f>IF(' '!$L$9=0,"",VLOOKUP(' '!B5,' '!$C$5:$O$8,10,0))</f>
        <v>3</v>
      </c>
      <c r="AU49" s="274"/>
      <c r="AV49" s="337"/>
      <c r="AW49" s="304">
        <f>IF(' '!$L$9=0,"",VLOOKUP(' '!B5,' '!$C$5:$O$8,11,0))</f>
        <v>2</v>
      </c>
      <c r="AX49" s="304"/>
      <c r="AY49" s="304"/>
      <c r="AZ49" s="304">
        <f>IF(' '!$L$9=0,"",VLOOKUP(' '!B5,' '!$C$5:$O$8,12,0))</f>
        <v>0</v>
      </c>
      <c r="BA49" s="304"/>
      <c r="BB49" s="304"/>
      <c r="BC49" s="304">
        <f>IF(' '!$L$9=0,"",VLOOKUP(' '!B5,' '!$C$5:$O$8,13,0))</f>
        <v>1</v>
      </c>
      <c r="BD49" s="304"/>
      <c r="BE49" s="304"/>
      <c r="BF49" s="305">
        <f>IF(' '!$L$9=0,"",VLOOKUP(' '!B5,' '!$C$5:$O$8,5,0))</f>
        <v>2</v>
      </c>
      <c r="BG49" s="305"/>
      <c r="BH49" s="123" t="str">
        <f>IF(' '!$L$9=0,"",":")</f>
        <v>:</v>
      </c>
      <c r="BI49" s="303">
        <f>IF(' '!$L$9=0,"",VLOOKUP(' '!B5,' '!$C$5:$O$8,6,0))</f>
        <v>3</v>
      </c>
      <c r="BJ49" s="304"/>
      <c r="BK49" s="301">
        <f>IF(' '!$L$9=0,"",BF49-BI49)</f>
        <v>-1</v>
      </c>
      <c r="BL49" s="301"/>
      <c r="BM49" s="302"/>
      <c r="BN49" s="304">
        <f>IF(' '!$L$9=0,"",VLOOKUP(' '!B5,' '!$C$5:$O$8,7,0))</f>
        <v>6</v>
      </c>
      <c r="BO49" s="304"/>
      <c r="BP49" s="273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94" s="22" customFormat="1" ht="18" customHeight="1" x14ac:dyDescent="0.15">
      <c r="A50" s="122"/>
      <c r="C50" s="243"/>
      <c r="D50" s="243"/>
      <c r="E50" s="243"/>
      <c r="F50" s="243"/>
      <c r="G50" s="243"/>
      <c r="H50" s="243"/>
      <c r="I50" s="243"/>
      <c r="K50" s="247">
        <f>IF(' '!$L$9=0,"",IF(VLOOKUP(' '!B6,' '!$C$5:$E$8,3,0)=MAX(K$49:K49),"",' '!B6))</f>
        <v>2</v>
      </c>
      <c r="L50" s="248"/>
      <c r="M50" s="417" t="str">
        <f>IF(' '!$L$9=0,D20,VLOOKUP(' '!B6,' '!$C$5:$O$8,4,0))</f>
        <v>Offenburger FV</v>
      </c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252" t="str">
        <f>IF(AND(M50&amp;$AH$41=VLOOKUP(M50&amp;$AH$41,' '!$D$23:$H$46,1,0),VLOOKUP(M50&amp;$AH$41,' '!$D$23:$H$46,4,0)&lt;&gt;""),VLOOKUP(M50&amp;$AH$41,' '!$D$23:$H$46,4,0),VLOOKUP(M50&amp;$AH$41,' '!$D$23:$H$46,5,0))</f>
        <v>3:0</v>
      </c>
      <c r="AI50" s="252"/>
      <c r="AJ50" s="290"/>
      <c r="AK50" s="254"/>
      <c r="AL50" s="254"/>
      <c r="AM50" s="254"/>
      <c r="AN50" s="275" t="str">
        <f>IF(AND(M50&amp;$AN$41=VLOOKUP(M50&amp;$AN$41,' '!$D$23:$H$46,1,0),VLOOKUP(M50&amp;$AN$41,' '!$D$23:$H$46,4,0)&lt;&gt;""),VLOOKUP(M50&amp;$AN$41,' '!$D$23:$H$46,4,0),VLOOKUP(M50&amp;$AN$41,' '!$D$23:$H$46,5,0))</f>
        <v>1:1</v>
      </c>
      <c r="AO50" s="275"/>
      <c r="AP50" s="275"/>
      <c r="AQ50" s="251" t="str">
        <f>IF(AND(M50&amp;$AQ$41=VLOOKUP(M50&amp;$AQ$41,' '!$D$23:$H$46,1,0),VLOOKUP(M50&amp;$AQ$41,' '!$D$23:$H$46,4,0)&lt;&gt;""),VLOOKUP(M50&amp;$AQ$41,' '!$D$23:$H$46,4,0),VLOOKUP(M50&amp;$AQ$41,' '!$D$23:$H$46,5,0))</f>
        <v>0:0</v>
      </c>
      <c r="AR50" s="252"/>
      <c r="AS50" s="252"/>
      <c r="AT50" s="252">
        <f>IF(' '!$L$9=0,"",VLOOKUP(' '!B6,' '!$C$5:$O$8,10,0))</f>
        <v>3</v>
      </c>
      <c r="AU50" s="252"/>
      <c r="AV50" s="290"/>
      <c r="AW50" s="275">
        <f>IF(' '!$L$9=0,"",VLOOKUP(' '!B6,' '!$C$5:$O$8,11,0))</f>
        <v>1</v>
      </c>
      <c r="AX50" s="275"/>
      <c r="AY50" s="275"/>
      <c r="AZ50" s="275">
        <f>IF(' '!$L$9=0,"",VLOOKUP(' '!B6,' '!$C$5:$O$8,12,0))</f>
        <v>2</v>
      </c>
      <c r="BA50" s="275"/>
      <c r="BB50" s="275"/>
      <c r="BC50" s="275">
        <f>IF(' '!$L$9=0,"",VLOOKUP(' '!B6,' '!$C$5:$O$8,13,0))</f>
        <v>0</v>
      </c>
      <c r="BD50" s="275"/>
      <c r="BE50" s="275"/>
      <c r="BF50" s="307">
        <f>IF(' '!$L$9=0,"",VLOOKUP(' '!B6,' '!$C$5:$O$8,5,0))</f>
        <v>4</v>
      </c>
      <c r="BG50" s="307"/>
      <c r="BH50" s="124" t="str">
        <f>IF(' '!$L$9=0,"",":")</f>
        <v>:</v>
      </c>
      <c r="BI50" s="311">
        <f>IF(' '!$L$9=0,"",VLOOKUP(' '!B6,' '!$C$5:$O$8,6,0))</f>
        <v>1</v>
      </c>
      <c r="BJ50" s="275"/>
      <c r="BK50" s="316">
        <f>IF(' '!$L$9=0,"",BF50-BI50)</f>
        <v>3</v>
      </c>
      <c r="BL50" s="316"/>
      <c r="BM50" s="317"/>
      <c r="BN50" s="275">
        <f>IF(' '!$L$9=0,"",VLOOKUP(' '!B6,' '!$C$5:$O$8,7,0))</f>
        <v>5</v>
      </c>
      <c r="BO50" s="275"/>
      <c r="BP50" s="251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94" s="22" customFormat="1" ht="18" customHeight="1" x14ac:dyDescent="0.15">
      <c r="A51" s="122"/>
      <c r="B51" s="21"/>
      <c r="C51" s="243"/>
      <c r="D51" s="243"/>
      <c r="E51" s="243"/>
      <c r="F51" s="243"/>
      <c r="G51" s="243"/>
      <c r="H51" s="243"/>
      <c r="I51" s="243"/>
      <c r="K51" s="247">
        <f>IF(' '!$L$9=0,"",IF(VLOOKUP(' '!B7,' '!$C$5:$E$8,3,0)=MAX(K$49:K50),"",' '!B7))</f>
        <v>3</v>
      </c>
      <c r="L51" s="248"/>
      <c r="M51" s="417" t="str">
        <f>IF(' '!$L$9=0,D21,VLOOKUP(' '!B7,' '!$C$5:$O$8,4,0))</f>
        <v>FC Pfaffenweiler</v>
      </c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252" t="str">
        <f>IF(AND(M51&amp;$AH$41=VLOOKUP(M51&amp;$AH$41,' '!$D$23:$H$46,1,0),VLOOKUP(M51&amp;$AH$41,' '!$D$23:$H$46,4,0)&lt;&gt;""),VLOOKUP(M51&amp;$AH$41,' '!$D$23:$H$46,4,0),VLOOKUP(M51&amp;$AH$41,' '!$D$23:$H$46,5,0))</f>
        <v>0:1</v>
      </c>
      <c r="AI51" s="252"/>
      <c r="AJ51" s="290"/>
      <c r="AK51" s="275" t="str">
        <f>IF(AND(M51&amp;$AK$41=VLOOKUP(M51&amp;$AK$41,' '!$D$23:$H$46,1,0),VLOOKUP(M51&amp;$AK$41,' '!$D$23:$H$46,4,0)&lt;&gt;""),VLOOKUP(M51&amp;$AK$41,' '!$D$23:$H$46,4,0),VLOOKUP(M51&amp;$AK$41,' '!$D$23:$H$46,5,0))</f>
        <v>1:1</v>
      </c>
      <c r="AL51" s="275"/>
      <c r="AM51" s="275"/>
      <c r="AN51" s="254"/>
      <c r="AO51" s="254"/>
      <c r="AP51" s="254"/>
      <c r="AQ51" s="251" t="str">
        <f>IF(AND(M51&amp;$AQ$41=VLOOKUP(M51&amp;$AQ$41,' '!$D$23:$H$46,1,0),VLOOKUP(M51&amp;$AQ$41,' '!$D$23:$H$46,4,0)&lt;&gt;""),VLOOKUP(M51&amp;$AQ$41,' '!$D$23:$H$46,4,0),VLOOKUP(M51&amp;$AQ$41,' '!$D$23:$H$46,5,0))</f>
        <v>0:0</v>
      </c>
      <c r="AR51" s="252"/>
      <c r="AS51" s="252"/>
      <c r="AT51" s="252">
        <f>IF(' '!$L$9=0,"",VLOOKUP(' '!B7,' '!$C$5:$O$8,10,0))</f>
        <v>3</v>
      </c>
      <c r="AU51" s="252"/>
      <c r="AV51" s="290"/>
      <c r="AW51" s="275">
        <f>IF(' '!$L$9=0,"",VLOOKUP(' '!B7,' '!$C$5:$O$8,11,0))</f>
        <v>0</v>
      </c>
      <c r="AX51" s="275"/>
      <c r="AY51" s="275"/>
      <c r="AZ51" s="275">
        <f>IF(' '!$L$9=0,"",VLOOKUP(' '!B7,' '!$C$5:$O$8,12,0))</f>
        <v>2</v>
      </c>
      <c r="BA51" s="275"/>
      <c r="BB51" s="275"/>
      <c r="BC51" s="275">
        <f>IF(' '!$L$9=0,"",VLOOKUP(' '!B7,' '!$C$5:$O$8,13,0))</f>
        <v>1</v>
      </c>
      <c r="BD51" s="275"/>
      <c r="BE51" s="275"/>
      <c r="BF51" s="307">
        <f>IF(' '!$L$9=0,"",VLOOKUP(' '!B7,' '!$C$5:$O$8,5,0))</f>
        <v>1</v>
      </c>
      <c r="BG51" s="307"/>
      <c r="BH51" s="124" t="str">
        <f>IF(' '!$L$9=0,"",":")</f>
        <v>:</v>
      </c>
      <c r="BI51" s="311">
        <f>IF(' '!$L$9=0,"",VLOOKUP(' '!B7,' '!$C$5:$O$8,6,0))</f>
        <v>2</v>
      </c>
      <c r="BJ51" s="275"/>
      <c r="BK51" s="316">
        <f>IF(' '!$L$9=0,"",BF51-BI51)</f>
        <v>-1</v>
      </c>
      <c r="BL51" s="316"/>
      <c r="BM51" s="317"/>
      <c r="BN51" s="275">
        <f>IF(' '!$L$9=0,"",VLOOKUP(' '!B7,' '!$C$5:$O$8,7,0))</f>
        <v>2</v>
      </c>
      <c r="BO51" s="275"/>
      <c r="BP51" s="251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94" s="22" customFormat="1" ht="18" customHeight="1" thickBot="1" x14ac:dyDescent="0.2">
      <c r="A52" s="122"/>
      <c r="C52" s="243"/>
      <c r="D52" s="243"/>
      <c r="E52" s="243"/>
      <c r="F52" s="243"/>
      <c r="G52" s="243"/>
      <c r="H52" s="243"/>
      <c r="I52" s="243"/>
      <c r="K52" s="287">
        <f>IF(' '!$L$9=0,"",IF(VLOOKUP(' '!B8,' '!$C$5:$E$8,3,0)=MAX(K$49:K51),"",' '!B8))</f>
        <v>4</v>
      </c>
      <c r="L52" s="288"/>
      <c r="M52" s="415" t="str">
        <f>IF(' '!$L$9=0,D22,VLOOKUP(' '!B8,' '!$C$5:$O$8,4,0))</f>
        <v>SSC Donaueschingen</v>
      </c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333" t="str">
        <f>IF(AND(M52&amp;$AH$41=VLOOKUP(M52&amp;$AH$41,' '!$D$23:$H$46,1,0),VLOOKUP(M52&amp;$AH$41,' '!$D$23:$H$46,4,0)&lt;&gt;""),VLOOKUP(M52&amp;$AH$41,' '!$D$23:$H$46,4,0),VLOOKUP(M52&amp;$AH$41,' '!$D$23:$H$46,5,0))</f>
        <v>0:1</v>
      </c>
      <c r="AI52" s="333"/>
      <c r="AJ52" s="334"/>
      <c r="AK52" s="253" t="str">
        <f>IF(AND(M52&amp;$AK$41=VLOOKUP(M52&amp;$AK$41,' '!$D$23:$H$46,1,0),VLOOKUP(M52&amp;$AK$41,' '!$D$23:$H$46,4,0)&lt;&gt;""),VLOOKUP(M52&amp;$AK$41,' '!$D$23:$H$46,4,0),VLOOKUP(M52&amp;$AK$41,' '!$D$23:$H$46,5,0))</f>
        <v>0:0</v>
      </c>
      <c r="AL52" s="253"/>
      <c r="AM52" s="253"/>
      <c r="AN52" s="253" t="str">
        <f>IF(AND(M52&amp;$AN$41=VLOOKUP(M52&amp;$AN$41,' '!$D$23:$H$46,1,0),VLOOKUP(M52&amp;$AN$41,' '!$D$23:$H$46,4,0)&lt;&gt;""),VLOOKUP(M52&amp;$AN$41,' '!$D$23:$H$46,4,0),VLOOKUP(M52&amp;$AN$41,' '!$D$23:$H$46,5,0))</f>
        <v>0:0</v>
      </c>
      <c r="AO52" s="253"/>
      <c r="AP52" s="253"/>
      <c r="AQ52" s="249"/>
      <c r="AR52" s="250"/>
      <c r="AS52" s="250"/>
      <c r="AT52" s="333">
        <f>IF(' '!$L$9=0,"",VLOOKUP(' '!B8,' '!$C$5:$O$8,10,0))</f>
        <v>3</v>
      </c>
      <c r="AU52" s="333"/>
      <c r="AV52" s="334"/>
      <c r="AW52" s="253">
        <f>IF(' '!$L$9=0,"",VLOOKUP(' '!B8,' '!$C$5:$O$8,11,0))</f>
        <v>0</v>
      </c>
      <c r="AX52" s="253"/>
      <c r="AY52" s="253"/>
      <c r="AZ52" s="253">
        <f>IF(' '!$L$9=0,"",VLOOKUP(' '!B8,' '!$C$5:$O$8,12,0))</f>
        <v>2</v>
      </c>
      <c r="BA52" s="253"/>
      <c r="BB52" s="253"/>
      <c r="BC52" s="253">
        <f>IF(' '!$L$9=0,"",VLOOKUP(' '!B8,' '!$C$5:$O$8,13,0))</f>
        <v>1</v>
      </c>
      <c r="BD52" s="253"/>
      <c r="BE52" s="253"/>
      <c r="BF52" s="255">
        <f>IF(' '!$L$9=0,"",VLOOKUP(' '!B8,' '!$C$5:$O$8,5,0))</f>
        <v>0</v>
      </c>
      <c r="BG52" s="255"/>
      <c r="BH52" s="125" t="str">
        <f>IF(' '!$L$9=0,"",":")</f>
        <v>:</v>
      </c>
      <c r="BI52" s="313">
        <f>IF(' '!$L$9=0,"",VLOOKUP(' '!B8,' '!$C$5:$O$8,6,0))</f>
        <v>1</v>
      </c>
      <c r="BJ52" s="253"/>
      <c r="BK52" s="314">
        <f>IF(' '!$L$9=0,"",BF52-BI52)</f>
        <v>-1</v>
      </c>
      <c r="BL52" s="314"/>
      <c r="BM52" s="315"/>
      <c r="BN52" s="253">
        <f>IF(' '!$L$9=0,"",VLOOKUP(' '!B8,' '!$C$5:$O$8,7,0))</f>
        <v>2</v>
      </c>
      <c r="BO52" s="253"/>
      <c r="BP52" s="312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94" s="22" customFormat="1" ht="18" customHeight="1" thickBot="1" x14ac:dyDescent="0.2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94" s="22" customFormat="1" ht="18" customHeight="1" x14ac:dyDescent="0.15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385" t="str">
        <f>M62</f>
        <v>FC 08 Villingen</v>
      </c>
      <c r="AI54" s="386"/>
      <c r="AJ54" s="386"/>
      <c r="AK54" s="386" t="str">
        <f>M63</f>
        <v>SC Pfullendorf</v>
      </c>
      <c r="AL54" s="386"/>
      <c r="AM54" s="386"/>
      <c r="AN54" s="386" t="str">
        <f>M64</f>
        <v>SF Eintracht Freiburg</v>
      </c>
      <c r="AO54" s="386"/>
      <c r="AP54" s="386"/>
      <c r="AQ54" s="386" t="str">
        <f>M65</f>
        <v>SV 08 Kuppenheim</v>
      </c>
      <c r="AR54" s="386"/>
      <c r="AS54" s="400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 x14ac:dyDescent="0.15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387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401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1:94" s="22" customFormat="1" ht="18" customHeight="1" x14ac:dyDescent="0.15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387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401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1:94" s="22" customFormat="1" ht="18" customHeight="1" x14ac:dyDescent="0.15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387"/>
      <c r="AI57" s="388"/>
      <c r="AJ57" s="388"/>
      <c r="AK57" s="388"/>
      <c r="AL57" s="388"/>
      <c r="AM57" s="388"/>
      <c r="AN57" s="388"/>
      <c r="AO57" s="388"/>
      <c r="AP57" s="388"/>
      <c r="AQ57" s="388"/>
      <c r="AR57" s="388"/>
      <c r="AS57" s="401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1:94" s="22" customFormat="1" ht="18" customHeight="1" x14ac:dyDescent="0.15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387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401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1:94" s="22" customFormat="1" ht="18" customHeight="1" x14ac:dyDescent="0.15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387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401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94" s="22" customFormat="1" ht="18" customHeight="1" thickBot="1" x14ac:dyDescent="0.2">
      <c r="A60" s="26"/>
      <c r="B60" s="21"/>
      <c r="C60" s="350" t="s">
        <v>16</v>
      </c>
      <c r="D60" s="351"/>
      <c r="E60" s="351"/>
      <c r="F60" s="351"/>
      <c r="G60" s="351"/>
      <c r="H60" s="351"/>
      <c r="I60" s="35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387"/>
      <c r="AI60" s="388"/>
      <c r="AJ60" s="388"/>
      <c r="AK60" s="388"/>
      <c r="AL60" s="388"/>
      <c r="AM60" s="388"/>
      <c r="AN60" s="388"/>
      <c r="AO60" s="388"/>
      <c r="AP60" s="388"/>
      <c r="AQ60" s="388"/>
      <c r="AR60" s="388"/>
      <c r="AS60" s="401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1:94" s="22" customFormat="1" ht="18" customHeight="1" thickBot="1" x14ac:dyDescent="0.2">
      <c r="C61" s="231" t="s">
        <v>17</v>
      </c>
      <c r="D61" s="232"/>
      <c r="E61" s="232"/>
      <c r="F61" s="233"/>
      <c r="G61" s="231" t="s">
        <v>18</v>
      </c>
      <c r="H61" s="232"/>
      <c r="I61" s="233"/>
      <c r="K61" s="265" t="str">
        <f>IF(' '!L18=0,AC18,IF(' '!B18&lt;&gt;' '!L18,"es liegen nicht alle Ergebnisse vor",AC18))</f>
        <v>Gruppe B</v>
      </c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7"/>
      <c r="AH61" s="389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402"/>
      <c r="AT61" s="335" t="s">
        <v>19</v>
      </c>
      <c r="AU61" s="324"/>
      <c r="AV61" s="324"/>
      <c r="AW61" s="324" t="s">
        <v>20</v>
      </c>
      <c r="AX61" s="324"/>
      <c r="AY61" s="324"/>
      <c r="AZ61" s="324" t="s">
        <v>21</v>
      </c>
      <c r="BA61" s="324"/>
      <c r="BB61" s="324"/>
      <c r="BC61" s="324" t="s">
        <v>22</v>
      </c>
      <c r="BD61" s="324"/>
      <c r="BE61" s="324"/>
      <c r="BF61" s="324" t="s">
        <v>23</v>
      </c>
      <c r="BG61" s="324"/>
      <c r="BH61" s="324"/>
      <c r="BI61" s="324"/>
      <c r="BJ61" s="324"/>
      <c r="BK61" s="324" t="s">
        <v>24</v>
      </c>
      <c r="BL61" s="324"/>
      <c r="BM61" s="326"/>
      <c r="BN61" s="324" t="s">
        <v>25</v>
      </c>
      <c r="BO61" s="324"/>
      <c r="BP61" s="32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1:94" s="22" customFormat="1" ht="18" customHeight="1" x14ac:dyDescent="0.15">
      <c r="B62" s="27"/>
      <c r="C62" s="243"/>
      <c r="D62" s="243"/>
      <c r="E62" s="243"/>
      <c r="F62" s="243"/>
      <c r="G62" s="243"/>
      <c r="H62" s="243"/>
      <c r="I62" s="243"/>
      <c r="K62" s="309">
        <f>IF(' '!$L$18=0,"",1)</f>
        <v>1</v>
      </c>
      <c r="L62" s="310"/>
      <c r="M62" s="419" t="str">
        <f>IF(' '!$L$18=0,AC19,VLOOKUP(' '!B14,' '!$C$14:$O$17,4,0))</f>
        <v>FC 08 Villingen</v>
      </c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383"/>
      <c r="AI62" s="383"/>
      <c r="AJ62" s="384"/>
      <c r="AK62" s="304" t="str">
        <f>IF(AND(M62&amp;$AK$54=VLOOKUP(M62&amp;$AK$54,' '!$D$23:$H$46,1,0),VLOOKUP(M62&amp;$AK$54,' '!$D$23:$H$46,4,0)&lt;&gt;""),VLOOKUP(M62&amp;$AK$54,' '!$D$23:$H$46,4,0),VLOOKUP(M62&amp;$AK$54,' '!$D$23:$H$46,5,0))</f>
        <v>0:0</v>
      </c>
      <c r="AL62" s="304"/>
      <c r="AM62" s="304"/>
      <c r="AN62" s="304" t="str">
        <f>IF(AND(M62&amp;$AN$54=VLOOKUP(M62&amp;$AN$54,' '!$D$23:$H$46,1,0),VLOOKUP(M62&amp;$AN$54,' '!$D$23:$H$46,4,0)&lt;&gt;""),VLOOKUP(M62&amp;$AN$54,' '!$D$23:$H$46,4,0),VLOOKUP(M62&amp;$AN$54,' '!$D$23:$H$46,5,0))</f>
        <v>3:0</v>
      </c>
      <c r="AO62" s="304"/>
      <c r="AP62" s="304"/>
      <c r="AQ62" s="273" t="str">
        <f>IF(AND(M62&amp;$AQ$54=VLOOKUP(M62&amp;$AQ$54,' '!$D$23:$H$46,1,0),VLOOKUP(M62&amp;$AQ$54,' '!$D$23:$H$46,4,0)&lt;&gt;""),VLOOKUP(M62&amp;$AQ$54,' '!$D$23:$H$46,4,0),VLOOKUP(M62&amp;$AQ$54,' '!$D$23:$H$46,5,0))</f>
        <v>1:0</v>
      </c>
      <c r="AR62" s="274"/>
      <c r="AS62" s="274"/>
      <c r="AT62" s="274">
        <f>IF(' '!$L$18=0,"",VLOOKUP(' '!B14,' '!$C$14:$O$17,10,0))</f>
        <v>3</v>
      </c>
      <c r="AU62" s="274"/>
      <c r="AV62" s="337"/>
      <c r="AW62" s="318">
        <f>IF(' '!$L$18=0,"",VLOOKUP(' '!B14,' '!$C$14:$O$17,11,0))</f>
        <v>2</v>
      </c>
      <c r="AX62" s="305"/>
      <c r="AY62" s="303"/>
      <c r="AZ62" s="318">
        <f>IF(' '!$L$18=0,"",VLOOKUP(' '!B14,' '!$C$14:$O$17,12,0))</f>
        <v>1</v>
      </c>
      <c r="BA62" s="305"/>
      <c r="BB62" s="303"/>
      <c r="BC62" s="318">
        <f>IF(' '!$L$18=0,"",VLOOKUP(' '!B14,' '!$C$14:$O$17,13,0))</f>
        <v>0</v>
      </c>
      <c r="BD62" s="305"/>
      <c r="BE62" s="303"/>
      <c r="BF62" s="305">
        <f>IF(' '!$L$18=0,"",VLOOKUP(' '!B14,' '!$C$14:$O$17,5,0))</f>
        <v>4</v>
      </c>
      <c r="BG62" s="305"/>
      <c r="BH62" s="123" t="str">
        <f>IF(' '!$L$18=0,"",":")</f>
        <v>:</v>
      </c>
      <c r="BI62" s="303">
        <f>IF(' '!$L$18=0,"",VLOOKUP(' '!B14,' '!$C$14:$O$17,6,0))</f>
        <v>0</v>
      </c>
      <c r="BJ62" s="304"/>
      <c r="BK62" s="301">
        <f>IF(' '!$L$18=0,"",BF62-BI62)</f>
        <v>4</v>
      </c>
      <c r="BL62" s="301"/>
      <c r="BM62" s="302"/>
      <c r="BN62" s="318">
        <f>IF(' '!$L$18=0,"",VLOOKUP(' '!B14,' '!$C$14:$O$17,7,0))</f>
        <v>7</v>
      </c>
      <c r="BO62" s="305"/>
      <c r="BP62" s="319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1:94" s="22" customFormat="1" ht="18" customHeight="1" x14ac:dyDescent="0.15">
      <c r="C63" s="243"/>
      <c r="D63" s="243"/>
      <c r="E63" s="243"/>
      <c r="F63" s="243"/>
      <c r="G63" s="243"/>
      <c r="H63" s="243"/>
      <c r="I63" s="243"/>
      <c r="J63" s="21"/>
      <c r="K63" s="247">
        <f>IF(' '!$L$18=0,"",IF(VLOOKUP(' '!B15,' '!$C$14:$E$17,3,0)=MAX(K$62:K62),"",' '!B15))</f>
        <v>2</v>
      </c>
      <c r="L63" s="248"/>
      <c r="M63" s="417" t="str">
        <f>IF(' '!$L$18=0,AC20,VLOOKUP(' '!B15,' '!$C$14:$O$17,4,0))</f>
        <v>SC Pfullendorf</v>
      </c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252" t="str">
        <f>IF(AND(M63&amp;$AH$54=VLOOKUP(M63&amp;$AH$54,' '!$D$23:$H$46,1,0),VLOOKUP(M63&amp;$AH$54,' '!$D$23:$H$46,4,0)&lt;&gt;""),VLOOKUP(M63&amp;$AH$54,' '!$D$23:$H$46,4,0),VLOOKUP(M63&amp;$AH$54,' '!$D$23:$H$46,5,0))</f>
        <v>0:0</v>
      </c>
      <c r="AI63" s="252"/>
      <c r="AJ63" s="290"/>
      <c r="AK63" s="254"/>
      <c r="AL63" s="254"/>
      <c r="AM63" s="254"/>
      <c r="AN63" s="275" t="str">
        <f>IF(AND(M63&amp;$AN$54=VLOOKUP(M63&amp;$AN$54,' '!$D$23:$H$46,1,0),VLOOKUP(M63&amp;$AN$54,' '!$D$23:$H$46,4,0)&lt;&gt;""),VLOOKUP(M63&amp;$AN$54,' '!$D$23:$H$46,4,0),VLOOKUP(M63&amp;$AN$54,' '!$D$23:$H$46,5,0))</f>
        <v>1:0</v>
      </c>
      <c r="AO63" s="275"/>
      <c r="AP63" s="275"/>
      <c r="AQ63" s="251" t="str">
        <f>IF(AND(M63&amp;$AQ$54=VLOOKUP(M63&amp;$AQ$54,' '!$D$23:$H$46,1,0),VLOOKUP(M63&amp;$AQ$54,' '!$D$23:$H$46,4,0)&lt;&gt;""),VLOOKUP(M63&amp;$AQ$54,' '!$D$23:$H$46,4,0),VLOOKUP(M63&amp;$AQ$54,' '!$D$23:$H$46,5,0))</f>
        <v>1:0</v>
      </c>
      <c r="AR63" s="252"/>
      <c r="AS63" s="252"/>
      <c r="AT63" s="252">
        <f>IF(' '!$L$18=0,"",VLOOKUP(' '!B15,' '!$C$14:$O$17,10,0))</f>
        <v>3</v>
      </c>
      <c r="AU63" s="252"/>
      <c r="AV63" s="290"/>
      <c r="AW63" s="306">
        <f>IF(' '!$L$18=0,"",VLOOKUP(' '!B15,' '!$C$14:$O$17,11,0))</f>
        <v>2</v>
      </c>
      <c r="AX63" s="307"/>
      <c r="AY63" s="311"/>
      <c r="AZ63" s="306">
        <f>IF(' '!$L$18=0,"",VLOOKUP(' '!B15,' '!$C$14:$O$17,12,0))</f>
        <v>1</v>
      </c>
      <c r="BA63" s="307"/>
      <c r="BB63" s="311"/>
      <c r="BC63" s="306">
        <f>IF(' '!$L$18=0,"",VLOOKUP(' '!B15,' '!$C$14:$O$17,13,0))</f>
        <v>0</v>
      </c>
      <c r="BD63" s="307"/>
      <c r="BE63" s="311"/>
      <c r="BF63" s="307">
        <f>IF(' '!$L$18=0,"",VLOOKUP(' '!B15,' '!$C$14:$O$17,5,0))</f>
        <v>2</v>
      </c>
      <c r="BG63" s="307"/>
      <c r="BH63" s="124" t="str">
        <f>IF(' '!$L$18=0,"",":")</f>
        <v>:</v>
      </c>
      <c r="BI63" s="311">
        <f>IF(' '!$L$18=0,"",VLOOKUP(' '!B15,' '!$C$14:$O$17,6,0))</f>
        <v>0</v>
      </c>
      <c r="BJ63" s="275"/>
      <c r="BK63" s="316">
        <f>IF(' '!$L$18=0,"",BF63-BI63)</f>
        <v>2</v>
      </c>
      <c r="BL63" s="316"/>
      <c r="BM63" s="317"/>
      <c r="BN63" s="306">
        <f>IF(' '!$L$18=0,"",VLOOKUP(' '!B15,' '!$C$14:$O$17,7,0))</f>
        <v>7</v>
      </c>
      <c r="BO63" s="307"/>
      <c r="BP63" s="308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1:94" s="22" customFormat="1" ht="18" customHeight="1" x14ac:dyDescent="0.15">
      <c r="C64" s="243"/>
      <c r="D64" s="243"/>
      <c r="E64" s="243"/>
      <c r="F64" s="243"/>
      <c r="G64" s="243"/>
      <c r="H64" s="243"/>
      <c r="I64" s="243"/>
      <c r="K64" s="247">
        <f>IF(' '!$L$18=0,"",IF(VLOOKUP(' '!B16,' '!$C$14:$E$17,3,0)=MAX(K$62:K63),"",' '!B16))</f>
        <v>3</v>
      </c>
      <c r="L64" s="248"/>
      <c r="M64" s="417" t="str">
        <f>IF(' '!$L$18=0,AC21,VLOOKUP(' '!B16,' '!$C$14:$O$17,4,0))</f>
        <v>SF Eintracht Freiburg</v>
      </c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252" t="str">
        <f>IF(AND(M64&amp;$AH$54=VLOOKUP(M64&amp;$AH$54,' '!$D$23:$H$46,1,0),VLOOKUP(M64&amp;$AH$54,' '!$D$23:$H$46,4,0)&lt;&gt;""),VLOOKUP(M64&amp;$AH$54,' '!$D$23:$H$46,4,0),VLOOKUP(M64&amp;$AH$54,' '!$D$23:$H$46,5,0))</f>
        <v>0:3</v>
      </c>
      <c r="AI64" s="252"/>
      <c r="AJ64" s="290"/>
      <c r="AK64" s="275" t="str">
        <f>IF(AND(M64&amp;$AK$54=VLOOKUP(M64&amp;$AK$54,' '!$D$23:$H$46,1,0),VLOOKUP(M64&amp;$AK$54,' '!$D$23:$H$46,4,0)&lt;&gt;""),VLOOKUP(M64&amp;$AK$54,' '!$D$23:$H$46,4,0),VLOOKUP(M64&amp;$AK$54,' '!$D$23:$H$46,5,0))</f>
        <v>0:1</v>
      </c>
      <c r="AL64" s="275"/>
      <c r="AM64" s="275"/>
      <c r="AN64" s="254"/>
      <c r="AO64" s="254"/>
      <c r="AP64" s="254"/>
      <c r="AQ64" s="251" t="str">
        <f>IF(AND(M64&amp;$AQ$54=VLOOKUP(M64&amp;$AQ$54,' '!$D$23:$H$46,1,0),VLOOKUP(M64&amp;$AQ$54,' '!$D$23:$H$46,4,0)&lt;&gt;""),VLOOKUP(M64&amp;$AQ$54,' '!$D$23:$H$46,4,0),VLOOKUP(M64&amp;$AQ$54,' '!$D$23:$H$46,5,0))</f>
        <v>3:2</v>
      </c>
      <c r="AR64" s="252"/>
      <c r="AS64" s="252"/>
      <c r="AT64" s="252">
        <f>IF(' '!$L$18=0,"",VLOOKUP(' '!B16,' '!$C$14:$O$17,10,0))</f>
        <v>3</v>
      </c>
      <c r="AU64" s="252"/>
      <c r="AV64" s="290"/>
      <c r="AW64" s="306">
        <f>IF(' '!$L$18=0,"",VLOOKUP(' '!B16,' '!$C$14:$O$17,11,0))</f>
        <v>1</v>
      </c>
      <c r="AX64" s="307"/>
      <c r="AY64" s="311"/>
      <c r="AZ64" s="306">
        <f>IF(' '!$L$18=0,"",VLOOKUP(' '!B16,' '!$C$14:$O$17,12,0))</f>
        <v>0</v>
      </c>
      <c r="BA64" s="307"/>
      <c r="BB64" s="311"/>
      <c r="BC64" s="306">
        <f>IF(' '!$L$18=0,"",VLOOKUP(' '!B16,' '!$C$14:$O$17,13,0))</f>
        <v>2</v>
      </c>
      <c r="BD64" s="307"/>
      <c r="BE64" s="311"/>
      <c r="BF64" s="307">
        <f>IF(' '!$L$18=0,"",VLOOKUP(' '!B16,' '!$C$14:$O$17,5,0))</f>
        <v>3</v>
      </c>
      <c r="BG64" s="307"/>
      <c r="BH64" s="124" t="str">
        <f>IF(' '!$L$18=0,"",":")</f>
        <v>:</v>
      </c>
      <c r="BI64" s="311">
        <f>IF(' '!$L$18=0,"",VLOOKUP(' '!B16,' '!$C$14:$O$17,6,0))</f>
        <v>6</v>
      </c>
      <c r="BJ64" s="275"/>
      <c r="BK64" s="316">
        <f>IF(' '!$L$18=0,"",BF64-BI64)</f>
        <v>-3</v>
      </c>
      <c r="BL64" s="316"/>
      <c r="BM64" s="317"/>
      <c r="BN64" s="306">
        <f>IF(' '!$L$18=0,"",VLOOKUP(' '!B16,' '!$C$14:$O$17,7,0))</f>
        <v>3</v>
      </c>
      <c r="BO64" s="307"/>
      <c r="BP64" s="308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2:94" s="22" customFormat="1" ht="18" customHeight="1" thickBot="1" x14ac:dyDescent="0.2">
      <c r="C65" s="243"/>
      <c r="D65" s="243"/>
      <c r="E65" s="243"/>
      <c r="F65" s="243"/>
      <c r="G65" s="243"/>
      <c r="H65" s="243"/>
      <c r="I65" s="243"/>
      <c r="K65" s="287">
        <f>IF(' '!$L$18=0,"",IF(VLOOKUP(' '!B17,' '!$C$14:$E$17,3,0)=MAX(K$62:K64),"",' '!B17))</f>
        <v>4</v>
      </c>
      <c r="L65" s="288"/>
      <c r="M65" s="415" t="str">
        <f>IF(' '!$L$18=0,AC22,VLOOKUP(' '!B17,' '!$C$14:$O$17,4,0))</f>
        <v>SV 08 Kuppenheim</v>
      </c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6"/>
      <c r="AE65" s="416"/>
      <c r="AF65" s="416"/>
      <c r="AG65" s="416"/>
      <c r="AH65" s="333" t="str">
        <f>IF(AND(M65&amp;$AH$54=VLOOKUP(M65&amp;$AH$54,' '!$D$23:$H$46,1,0),VLOOKUP(M65&amp;$AH$54,' '!$D$23:$H$46,4,0)&lt;&gt;""),VLOOKUP(M65&amp;$AH$54,' '!$D$23:$H$46,4,0),VLOOKUP(M65&amp;$AH$54,' '!$D$23:$H$46,5,0))</f>
        <v>0:1</v>
      </c>
      <c r="AI65" s="333"/>
      <c r="AJ65" s="334"/>
      <c r="AK65" s="253" t="str">
        <f>IF(AND(M65&amp;$AK$54=VLOOKUP(M65&amp;$AK$54,' '!$D$23:$H$46,1,0),VLOOKUP(M65&amp;$AK$54,' '!$D$23:$H$46,4,0)&lt;&gt;""),VLOOKUP(M65&amp;$AK$54,' '!$D$23:$H$46,4,0),VLOOKUP(M65&amp;$AK$54,' '!$D$23:$H$46,5,0))</f>
        <v>0:1</v>
      </c>
      <c r="AL65" s="253"/>
      <c r="AM65" s="253"/>
      <c r="AN65" s="253" t="str">
        <f>IF(AND(M65&amp;$AN$54=VLOOKUP(M65&amp;$AN$54,' '!$D$23:$H$46,1,0),VLOOKUP(M65&amp;$AN$54,' '!$D$23:$H$46,4,0)&lt;&gt;""),VLOOKUP(M65&amp;$AN$54,' '!$D$23:$H$46,4,0),VLOOKUP(M65&amp;$AN$54,' '!$D$23:$H$46,5,0))</f>
        <v>2:3</v>
      </c>
      <c r="AO65" s="253"/>
      <c r="AP65" s="253"/>
      <c r="AQ65" s="249"/>
      <c r="AR65" s="250"/>
      <c r="AS65" s="250"/>
      <c r="AT65" s="333">
        <f>IF(' '!$L$18=0,"",VLOOKUP(' '!B17,' '!$C$14:$O$17,10,0))</f>
        <v>3</v>
      </c>
      <c r="AU65" s="333"/>
      <c r="AV65" s="334"/>
      <c r="AW65" s="299">
        <f>IF(' '!$L$18=0,"",VLOOKUP(' '!B17,' '!$C$14:$O$17,11,0))</f>
        <v>0</v>
      </c>
      <c r="AX65" s="255"/>
      <c r="AY65" s="313"/>
      <c r="AZ65" s="299">
        <f>IF(' '!$L$18=0,"",VLOOKUP(' '!B17,' '!$C$14:$O$17,12,0))</f>
        <v>0</v>
      </c>
      <c r="BA65" s="255"/>
      <c r="BB65" s="313"/>
      <c r="BC65" s="299">
        <f>IF(' '!$L$18=0,"",VLOOKUP(' '!B17,' '!$C$14:$O$17,13,0))</f>
        <v>3</v>
      </c>
      <c r="BD65" s="255"/>
      <c r="BE65" s="313"/>
      <c r="BF65" s="342">
        <f>IF(' '!$L$18=0,"",VLOOKUP(' '!B17,' '!$C$14:$O$17,5,0))</f>
        <v>2</v>
      </c>
      <c r="BG65" s="342"/>
      <c r="BH65" s="137" t="str">
        <f>IF(' '!$L$18=0,"",":")</f>
        <v>:</v>
      </c>
      <c r="BI65" s="340">
        <f>IF(' '!$L$18=0,"",VLOOKUP(' '!B17,' '!$C$14:$O$17,6,0))</f>
        <v>5</v>
      </c>
      <c r="BJ65" s="341"/>
      <c r="BK65" s="338">
        <f>IF(' '!$L$18=0,"",BF65-BI65)</f>
        <v>-3</v>
      </c>
      <c r="BL65" s="338"/>
      <c r="BM65" s="339"/>
      <c r="BN65" s="299">
        <f>IF(' '!$L$18=0,"",VLOOKUP(' '!B17,' '!$C$14:$O$17,7,0))</f>
        <v>0</v>
      </c>
      <c r="BO65" s="255"/>
      <c r="BP65" s="300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2:94" s="22" customFormat="1" ht="20.100000000000001" customHeight="1" x14ac:dyDescent="0.15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spans="2:94" x14ac:dyDescent="0.15"/>
    <row r="68" spans="2:94" ht="13.5" x14ac:dyDescent="0.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94" ht="13.5" x14ac:dyDescent="0.1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94" ht="13.5" x14ac:dyDescent="0.15">
      <c r="B70" s="349" t="s">
        <v>62</v>
      </c>
      <c r="C70" s="349"/>
      <c r="D70" s="349"/>
      <c r="E70" s="349"/>
      <c r="F70" s="349"/>
      <c r="G70" s="349"/>
      <c r="H70" s="355">
        <f>H38+TEXT(2*$U$11*($X$11/1440)+($AI$11/1440)+($AW$11/1440),"hh:mm")</f>
        <v>0.61666666666666636</v>
      </c>
      <c r="I70" s="355"/>
      <c r="J70" s="355"/>
      <c r="K70" s="355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3">
        <f>U14</f>
        <v>1</v>
      </c>
      <c r="V70" s="343"/>
      <c r="W70" s="134" t="s">
        <v>2</v>
      </c>
      <c r="X70" s="206">
        <f>X11</f>
        <v>18</v>
      </c>
      <c r="Y70" s="206"/>
      <c r="Z70" s="206"/>
      <c r="AA70" s="206"/>
      <c r="AB70" s="206"/>
      <c r="AC70" s="207" t="str">
        <f>AC14</f>
        <v/>
      </c>
      <c r="AD70" s="207"/>
      <c r="AE70" s="207"/>
      <c r="AF70" s="207"/>
      <c r="AG70" s="207"/>
      <c r="AH70" s="207"/>
      <c r="AI70" s="226">
        <f>IF(AI14="","",AI14)</f>
        <v>0</v>
      </c>
      <c r="AJ70" s="226"/>
      <c r="AK70" s="226"/>
      <c r="AL70" s="226"/>
      <c r="AM70" s="226"/>
      <c r="AN70" s="349" t="s">
        <v>3</v>
      </c>
      <c r="AO70" s="349"/>
      <c r="AP70" s="349"/>
      <c r="AQ70" s="349"/>
      <c r="AR70" s="349"/>
      <c r="AS70" s="349"/>
      <c r="AT70" s="349"/>
      <c r="AU70" s="349"/>
      <c r="AV70" s="349"/>
      <c r="AW70" s="356">
        <f>AW14</f>
        <v>2</v>
      </c>
      <c r="AX70" s="356"/>
      <c r="AY70" s="356"/>
      <c r="AZ70" s="356"/>
      <c r="BA70" s="356"/>
      <c r="BB70" s="135"/>
      <c r="BC70" s="135"/>
      <c r="BD70" s="135"/>
      <c r="BE70" s="26"/>
      <c r="BF70" s="26"/>
      <c r="BG70" s="26"/>
      <c r="BH70" s="26"/>
    </row>
    <row r="71" spans="2:94" ht="14.25" thickBo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94" ht="14.25" thickBot="1" x14ac:dyDescent="0.2">
      <c r="B72" s="22"/>
      <c r="C72" s="345" t="s">
        <v>9</v>
      </c>
      <c r="D72" s="244"/>
      <c r="E72" s="244" t="s">
        <v>63</v>
      </c>
      <c r="F72" s="244"/>
      <c r="G72" s="244"/>
      <c r="H72" s="244"/>
      <c r="I72" s="293" t="s">
        <v>27</v>
      </c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5"/>
      <c r="AZ72" s="244" t="s">
        <v>12</v>
      </c>
      <c r="BA72" s="244"/>
      <c r="BB72" s="244"/>
      <c r="BC72" s="244"/>
      <c r="BD72" s="293"/>
      <c r="BE72" s="327"/>
      <c r="BF72" s="294"/>
      <c r="BG72" s="294"/>
      <c r="BH72" s="328"/>
    </row>
    <row r="73" spans="2:94" ht="18" customHeight="1" x14ac:dyDescent="0.15">
      <c r="B73" s="22"/>
      <c r="C73" s="237">
        <v>13</v>
      </c>
      <c r="D73" s="238"/>
      <c r="E73" s="241">
        <f>$H$14</f>
        <v>0.61666666666666636</v>
      </c>
      <c r="F73" s="241"/>
      <c r="G73" s="241"/>
      <c r="H73" s="241"/>
      <c r="I73" s="270" t="str">
        <f>IF(OR(' '!L9=0,' '!B9&lt;&gt;SUM(AT49:AV52)),"",IF(OR(G49=1,G50=1,G51=1,G52=1),VLOOKUP(SMALL($G$49:$I$52,1),$G$49:$AG$52,7,0),IF(AND(SUM(AT49:AV52)=' '!B9,' '!E9=1),M49,"1. Platz Gruppe A nicht eindeutig")))</f>
        <v>FV Lörrach-Brombach</v>
      </c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136" t="s">
        <v>14</v>
      </c>
      <c r="AE73" s="271" t="str">
        <f>IF(OR(' '!L18=0,' '!B18&lt;&gt;SUM(AT62:AV65)),"",IF(OR(G62=2,G63=2,G64=2,G65=2),VLOOKUP(SMALL($G$62:$I$65,2),$G$62:$AG$65,7,0),IF(AND(SUM(AT62:AV65)=' '!B18,' '!E19=1),M63,"2. Platz Gruppe B nicht eindeutig")))</f>
        <v>SC Pfullendorf</v>
      </c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2"/>
      <c r="AZ73" s="268">
        <v>0</v>
      </c>
      <c r="BA73" s="268"/>
      <c r="BB73" s="269"/>
      <c r="BC73" s="276">
        <v>1</v>
      </c>
      <c r="BD73" s="276"/>
      <c r="BE73" s="256"/>
      <c r="BF73" s="257"/>
      <c r="BG73" s="257"/>
      <c r="BH73" s="258"/>
    </row>
    <row r="74" spans="2:94" ht="14.25" thickBot="1" x14ac:dyDescent="0.2">
      <c r="B74" s="22"/>
      <c r="C74" s="239"/>
      <c r="D74" s="240"/>
      <c r="E74" s="242"/>
      <c r="F74" s="242"/>
      <c r="G74" s="242"/>
      <c r="H74" s="242"/>
      <c r="I74" s="259" t="s">
        <v>28</v>
      </c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138"/>
      <c r="AE74" s="245" t="s">
        <v>29</v>
      </c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6"/>
      <c r="AZ74" s="229"/>
      <c r="BA74" s="229"/>
      <c r="BB74" s="229"/>
      <c r="BC74" s="229"/>
      <c r="BD74" s="230"/>
      <c r="BE74" s="262"/>
      <c r="BF74" s="263"/>
      <c r="BG74" s="263"/>
      <c r="BH74" s="264"/>
    </row>
    <row r="75" spans="2:94" ht="14.25" thickBo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94" ht="14.25" thickBot="1" x14ac:dyDescent="0.2">
      <c r="B76" s="22"/>
      <c r="C76" s="345" t="s">
        <v>9</v>
      </c>
      <c r="D76" s="244"/>
      <c r="E76" s="244" t="s">
        <v>63</v>
      </c>
      <c r="F76" s="244"/>
      <c r="G76" s="244"/>
      <c r="H76" s="244"/>
      <c r="I76" s="293" t="s">
        <v>30</v>
      </c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4"/>
      <c r="AS76" s="294"/>
      <c r="AT76" s="294"/>
      <c r="AU76" s="294"/>
      <c r="AV76" s="294"/>
      <c r="AW76" s="294"/>
      <c r="AX76" s="294"/>
      <c r="AY76" s="295"/>
      <c r="AZ76" s="244" t="s">
        <v>12</v>
      </c>
      <c r="BA76" s="244"/>
      <c r="BB76" s="244"/>
      <c r="BC76" s="244"/>
      <c r="BD76" s="293"/>
      <c r="BE76" s="327"/>
      <c r="BF76" s="294"/>
      <c r="BG76" s="294"/>
      <c r="BH76" s="328"/>
    </row>
    <row r="77" spans="2:94" ht="18" customHeight="1" x14ac:dyDescent="0.15">
      <c r="B77" s="22"/>
      <c r="C77" s="237">
        <v>14</v>
      </c>
      <c r="D77" s="238"/>
      <c r="E77" s="241">
        <f>E73+TEXT($U$14*($X$14/1440)+($AI$14/1440)+($AW$14/1440),"hh:mm")</f>
        <v>0.6305555555555552</v>
      </c>
      <c r="F77" s="241"/>
      <c r="G77" s="241"/>
      <c r="H77" s="241"/>
      <c r="I77" s="270" t="str">
        <f>IF(OR(' '!L18=0,' '!B18&lt;&gt;SUM(AT62:AV65)),"",IF(OR(G62=1,G63=1,G64=1,G65=1),VLOOKUP(SMALL($G$62:$I$65,1),$G$62:$AG$65,7,0),IF(AND(SUM(AT62:AV65)=' '!B18,' '!E18=1),M62,"1. Platz Gruppe B nicht eindeutig")))</f>
        <v>FC 08 Villingen</v>
      </c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136" t="s">
        <v>14</v>
      </c>
      <c r="AE77" s="271" t="str">
        <f>IF(OR(' '!L9=0,' '!B9&lt;&gt;SUM(AT49:AV52)),"",IF(OR(G49=2,G50=2,G51=2,G52=2),VLOOKUP(SMALL($G$49:$I$52,2),$G$49:$AG$52,7,0),IF(AND(SUM(AT49:AV52)=' '!B9,' '!E10=1),M50,"2. Platz Gruppe A nicht eindeutig")))</f>
        <v>Offenburger FV</v>
      </c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2"/>
      <c r="AZ77" s="268">
        <v>5</v>
      </c>
      <c r="BA77" s="268"/>
      <c r="BB77" s="269"/>
      <c r="BC77" s="276">
        <v>4</v>
      </c>
      <c r="BD77" s="276"/>
      <c r="BE77" s="256" t="s">
        <v>58</v>
      </c>
      <c r="BF77" s="257"/>
      <c r="BG77" s="257"/>
      <c r="BH77" s="258"/>
    </row>
    <row r="78" spans="2:94" ht="14.25" thickBot="1" x14ac:dyDescent="0.2">
      <c r="B78" s="22"/>
      <c r="C78" s="239"/>
      <c r="D78" s="240"/>
      <c r="E78" s="242"/>
      <c r="F78" s="242"/>
      <c r="G78" s="242"/>
      <c r="H78" s="242"/>
      <c r="I78" s="259" t="s">
        <v>31</v>
      </c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138"/>
      <c r="AE78" s="245" t="s">
        <v>32</v>
      </c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6"/>
      <c r="AZ78" s="229"/>
      <c r="BA78" s="229"/>
      <c r="BB78" s="229"/>
      <c r="BC78" s="229"/>
      <c r="BD78" s="230"/>
      <c r="BE78" s="262"/>
      <c r="BF78" s="263"/>
      <c r="BG78" s="263"/>
      <c r="BH78" s="264"/>
    </row>
    <row r="79" spans="2:94" ht="14.25" thickBot="1" x14ac:dyDescent="0.2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94" ht="14.25" thickBot="1" x14ac:dyDescent="0.2">
      <c r="B80" s="22"/>
      <c r="C80" s="346" t="s">
        <v>9</v>
      </c>
      <c r="D80" s="260"/>
      <c r="E80" s="260" t="s">
        <v>63</v>
      </c>
      <c r="F80" s="260"/>
      <c r="G80" s="260"/>
      <c r="H80" s="260"/>
      <c r="I80" s="261" t="s">
        <v>33</v>
      </c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96"/>
      <c r="AZ80" s="260" t="s">
        <v>12</v>
      </c>
      <c r="BA80" s="260"/>
      <c r="BB80" s="260"/>
      <c r="BC80" s="260"/>
      <c r="BD80" s="261"/>
      <c r="BE80" s="234"/>
      <c r="BF80" s="235"/>
      <c r="BG80" s="235"/>
      <c r="BH80" s="236"/>
    </row>
    <row r="81" spans="2:91" ht="18" customHeight="1" x14ac:dyDescent="0.15">
      <c r="B81" s="22"/>
      <c r="C81" s="237">
        <v>15</v>
      </c>
      <c r="D81" s="238"/>
      <c r="E81" s="241">
        <f>E77+TEXT($U$14*($X$14/1440)+($AI$14/1440)+($AW$14/1440),"hh:mm")</f>
        <v>0.64444444444444404</v>
      </c>
      <c r="F81" s="241"/>
      <c r="G81" s="241"/>
      <c r="H81" s="241"/>
      <c r="I81" s="270" t="str">
        <f>IF(OR(' '!L9=0,' '!B9&lt;&gt;SUM(AT49:AV52)),"",IF(OR(G49=4,G50=4,G51=4,G52=4),VLOOKUP(SMALL($G$49:$I$52,4),$G$49:$AG$52,7,0),IF(AND(SUM(AT49:AV52)=' '!B9,' '!E12=1),M52,"4. Platz Gruppe A nicht eindeutig")))</f>
        <v>SSC Donaueschingen</v>
      </c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136" t="s">
        <v>14</v>
      </c>
      <c r="AE81" s="271" t="str">
        <f>IF(OR(' '!L18=0,' '!B18&lt;&gt;SUM(AT62:AV65)),"",IF(OR(G62=4,G63=4,G64=4,G65=4),VLOOKUP(SMALL($G$62:$I$65,4),$G$62:$AG$65,7,0),IF(AND(SUM(AT62:AV65)=' '!B18,' '!E21=1),M65,"4. Platz Gruppe B nicht eindeutig")))</f>
        <v>SV 08 Kuppenheim</v>
      </c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2"/>
      <c r="AZ81" s="268">
        <v>0</v>
      </c>
      <c r="BA81" s="268"/>
      <c r="BB81" s="269"/>
      <c r="BC81" s="276">
        <v>3</v>
      </c>
      <c r="BD81" s="276"/>
      <c r="BE81" s="256"/>
      <c r="BF81" s="257"/>
      <c r="BG81" s="257"/>
      <c r="BH81" s="258"/>
    </row>
    <row r="82" spans="2:91" ht="14.25" thickBot="1" x14ac:dyDescent="0.2">
      <c r="B82" s="22"/>
      <c r="C82" s="239"/>
      <c r="D82" s="240"/>
      <c r="E82" s="242"/>
      <c r="F82" s="242"/>
      <c r="G82" s="242"/>
      <c r="H82" s="242"/>
      <c r="I82" s="259" t="s">
        <v>34</v>
      </c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138"/>
      <c r="AE82" s="245" t="s">
        <v>35</v>
      </c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6"/>
      <c r="AZ82" s="229"/>
      <c r="BA82" s="229"/>
      <c r="BB82" s="229"/>
      <c r="BC82" s="229"/>
      <c r="BD82" s="230"/>
      <c r="BE82" s="262"/>
      <c r="BF82" s="263"/>
      <c r="BG82" s="263"/>
      <c r="BH82" s="264"/>
    </row>
    <row r="83" spans="2:91" ht="14.25" thickBo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91" ht="14.25" thickBot="1" x14ac:dyDescent="0.2">
      <c r="B84" s="22"/>
      <c r="C84" s="346" t="s">
        <v>9</v>
      </c>
      <c r="D84" s="260"/>
      <c r="E84" s="260" t="s">
        <v>63</v>
      </c>
      <c r="F84" s="260"/>
      <c r="G84" s="260"/>
      <c r="H84" s="260"/>
      <c r="I84" s="261" t="s">
        <v>36</v>
      </c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96"/>
      <c r="AZ84" s="260" t="s">
        <v>12</v>
      </c>
      <c r="BA84" s="260"/>
      <c r="BB84" s="260"/>
      <c r="BC84" s="260"/>
      <c r="BD84" s="261"/>
      <c r="BE84" s="234"/>
      <c r="BF84" s="235"/>
      <c r="BG84" s="235"/>
      <c r="BH84" s="236"/>
    </row>
    <row r="85" spans="2:91" s="36" customFormat="1" ht="18" customHeight="1" x14ac:dyDescent="0.15">
      <c r="B85" s="22"/>
      <c r="C85" s="237">
        <v>16</v>
      </c>
      <c r="D85" s="238"/>
      <c r="E85" s="241">
        <f>E81+TEXT($U$14*($X$14/1440)+($AI$14/1440)+($AW$14/1440),"hh:mm")</f>
        <v>0.65833333333333288</v>
      </c>
      <c r="F85" s="241"/>
      <c r="G85" s="241"/>
      <c r="H85" s="241"/>
      <c r="I85" s="270" t="str">
        <f>IF(OR(' '!L9=0,' '!B9&lt;&gt;SUM(AT49:AV52)),"",IF(OR(G49=3,G50=3,G51=3,G52=3),VLOOKUP(SMALL($G$49:$I$52,3),$G$49:$AG$52,7,0),IF(AND(SUM(AT49:AV52)=' '!B9,' '!E11=1),M51,"3. Platz Gruppe A nicht eindeutig")))</f>
        <v>FC Pfaffenweiler</v>
      </c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136" t="s">
        <v>14</v>
      </c>
      <c r="AE85" s="271" t="str">
        <f>IF(OR(' '!L18=0,' '!B18&lt;&gt;SUM(AT62:AV65)),"",IF(OR(G62=3,G63=3,G64=3,G65=3),VLOOKUP(SMALL($G$62:$I$65,3),$G$62:$AG$65,7,0),IF(AND(SUM(AT62:AV65)=' '!B18,' '!E20=1),M64,"3. Platz Gruppe B nicht eindeutig")))</f>
        <v>SF Eintracht Freiburg</v>
      </c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2"/>
      <c r="AZ85" s="268">
        <v>2</v>
      </c>
      <c r="BA85" s="268"/>
      <c r="BB85" s="269"/>
      <c r="BC85" s="276">
        <v>0</v>
      </c>
      <c r="BD85" s="276"/>
      <c r="BE85" s="256"/>
      <c r="BF85" s="257"/>
      <c r="BG85" s="257"/>
      <c r="BH85" s="258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4.25" thickBot="1" x14ac:dyDescent="0.2">
      <c r="B86" s="22"/>
      <c r="C86" s="239"/>
      <c r="D86" s="240"/>
      <c r="E86" s="242"/>
      <c r="F86" s="242"/>
      <c r="G86" s="242"/>
      <c r="H86" s="242"/>
      <c r="I86" s="259" t="s">
        <v>37</v>
      </c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138"/>
      <c r="AE86" s="245" t="s">
        <v>38</v>
      </c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6"/>
      <c r="AZ86" s="229"/>
      <c r="BA86" s="229"/>
      <c r="BB86" s="229"/>
      <c r="BC86" s="229"/>
      <c r="BD86" s="230"/>
      <c r="BE86" s="262"/>
      <c r="BF86" s="263"/>
      <c r="BG86" s="263"/>
      <c r="BH86" s="264"/>
      <c r="BO86" s="1"/>
      <c r="BT86" s="2"/>
      <c r="BU86" s="3"/>
      <c r="BX86" s="4"/>
      <c r="BY86" s="3"/>
      <c r="CD86" s="4"/>
      <c r="CI86" s="2"/>
      <c r="CM86" s="5"/>
    </row>
    <row r="87" spans="2:91" ht="14.25" thickBot="1" x14ac:dyDescent="0.2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4.25" thickBot="1" x14ac:dyDescent="0.2">
      <c r="B88" s="22"/>
      <c r="C88" s="344" t="s">
        <v>9</v>
      </c>
      <c r="D88" s="217"/>
      <c r="E88" s="217" t="s">
        <v>63</v>
      </c>
      <c r="F88" s="217"/>
      <c r="G88" s="217"/>
      <c r="H88" s="217"/>
      <c r="I88" s="218" t="s">
        <v>39</v>
      </c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  <c r="AM88" s="291"/>
      <c r="AN88" s="291"/>
      <c r="AO88" s="291"/>
      <c r="AP88" s="291"/>
      <c r="AQ88" s="291"/>
      <c r="AR88" s="291"/>
      <c r="AS88" s="291"/>
      <c r="AT88" s="291"/>
      <c r="AU88" s="291"/>
      <c r="AV88" s="291"/>
      <c r="AW88" s="291"/>
      <c r="AX88" s="291"/>
      <c r="AY88" s="292"/>
      <c r="AZ88" s="217" t="s">
        <v>12</v>
      </c>
      <c r="BA88" s="217"/>
      <c r="BB88" s="217"/>
      <c r="BC88" s="217"/>
      <c r="BD88" s="218"/>
      <c r="BE88" s="297"/>
      <c r="BF88" s="291"/>
      <c r="BG88" s="291"/>
      <c r="BH88" s="298"/>
      <c r="BO88" s="1"/>
      <c r="BT88" s="2"/>
      <c r="BU88" s="3"/>
      <c r="BX88" s="4"/>
      <c r="BY88" s="3"/>
      <c r="CD88" s="4"/>
      <c r="CI88" s="2"/>
      <c r="CM88" s="5"/>
    </row>
    <row r="89" spans="2:91" ht="18" customHeight="1" x14ac:dyDescent="0.15">
      <c r="B89" s="22"/>
      <c r="C89" s="237">
        <v>17</v>
      </c>
      <c r="D89" s="238"/>
      <c r="E89" s="241">
        <f>E85+TEXT($U$14*($X$14/1440)+($AI$14/1440)+($AW$14/1440),"hh:mm")</f>
        <v>0.67222222222222172</v>
      </c>
      <c r="F89" s="241"/>
      <c r="G89" s="241"/>
      <c r="H89" s="241"/>
      <c r="I89" s="270" t="str">
        <f>IF(ISBLANK(AZ73)," ",IF(AZ73&lt;BC73,I73,IF(AZ73&lt;BC73,AE73,AE73)))</f>
        <v>FV Lörrach-Brombach</v>
      </c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136" t="s">
        <v>14</v>
      </c>
      <c r="AE89" s="271" t="str">
        <f>IF(ISBLANK(AZ77)," ",IF(AZ77&lt;BC77,I77,IF(AZ77&lt;BC77,AE77,AE77)))</f>
        <v>Offenburger FV</v>
      </c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2"/>
      <c r="AZ89" s="268">
        <v>1</v>
      </c>
      <c r="BA89" s="268"/>
      <c r="BB89" s="269"/>
      <c r="BC89" s="276">
        <v>0</v>
      </c>
      <c r="BD89" s="276"/>
      <c r="BE89" s="256"/>
      <c r="BF89" s="257"/>
      <c r="BG89" s="257"/>
      <c r="BH89" s="258"/>
      <c r="BO89" s="1"/>
      <c r="BT89" s="2"/>
      <c r="BU89" s="3"/>
      <c r="BX89" s="4"/>
      <c r="BY89" s="3"/>
      <c r="CD89" s="4"/>
      <c r="CI89" s="2"/>
      <c r="CM89" s="5"/>
    </row>
    <row r="90" spans="2:91" ht="14.25" thickBot="1" x14ac:dyDescent="0.2">
      <c r="B90" s="22"/>
      <c r="C90" s="239"/>
      <c r="D90" s="240"/>
      <c r="E90" s="242"/>
      <c r="F90" s="242"/>
      <c r="G90" s="242"/>
      <c r="H90" s="242"/>
      <c r="I90" s="259" t="s">
        <v>40</v>
      </c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138"/>
      <c r="AE90" s="245" t="s">
        <v>41</v>
      </c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6"/>
      <c r="AZ90" s="229"/>
      <c r="BA90" s="229"/>
      <c r="BB90" s="229"/>
      <c r="BC90" s="229"/>
      <c r="BD90" s="230"/>
      <c r="BE90" s="262"/>
      <c r="BF90" s="263"/>
      <c r="BG90" s="263"/>
      <c r="BH90" s="264"/>
      <c r="BO90" s="1"/>
      <c r="BT90" s="2"/>
      <c r="BU90" s="3"/>
      <c r="BX90" s="4"/>
      <c r="BY90" s="3"/>
      <c r="CD90" s="4"/>
      <c r="CI90" s="2"/>
      <c r="CM90" s="5"/>
    </row>
    <row r="91" spans="2:91" ht="14.25" thickBo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4.25" thickBot="1" x14ac:dyDescent="0.2">
      <c r="B92" s="22"/>
      <c r="C92" s="344" t="s">
        <v>9</v>
      </c>
      <c r="D92" s="217"/>
      <c r="E92" s="217" t="s">
        <v>63</v>
      </c>
      <c r="F92" s="217"/>
      <c r="G92" s="217"/>
      <c r="H92" s="217"/>
      <c r="I92" s="218" t="s">
        <v>42</v>
      </c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  <c r="AV92" s="291"/>
      <c r="AW92" s="291"/>
      <c r="AX92" s="291"/>
      <c r="AY92" s="292"/>
      <c r="AZ92" s="217" t="s">
        <v>12</v>
      </c>
      <c r="BA92" s="217"/>
      <c r="BB92" s="217"/>
      <c r="BC92" s="217"/>
      <c r="BD92" s="218"/>
      <c r="BE92" s="297"/>
      <c r="BF92" s="291"/>
      <c r="BG92" s="291"/>
      <c r="BH92" s="298"/>
      <c r="BO92" s="1"/>
      <c r="BT92" s="2"/>
      <c r="BU92" s="3"/>
      <c r="BX92" s="4"/>
      <c r="BY92" s="3"/>
      <c r="CD92" s="4"/>
      <c r="CI92" s="2"/>
      <c r="CM92" s="5"/>
    </row>
    <row r="93" spans="2:91" ht="18" customHeight="1" x14ac:dyDescent="0.15">
      <c r="B93" s="22"/>
      <c r="C93" s="237">
        <v>18</v>
      </c>
      <c r="D93" s="238"/>
      <c r="E93" s="241">
        <f>E89+TEXT($U$14*($X$14/1440)+($AI$14/1440)+($AW$14/1440),"hh:mm")</f>
        <v>0.68611111111111056</v>
      </c>
      <c r="F93" s="241"/>
      <c r="G93" s="241"/>
      <c r="H93" s="241"/>
      <c r="I93" s="270" t="str">
        <f>IF(ISBLANK(AZ73)," ",IF(AZ73&gt;BC73,I73,IF(AZ73&lt;BC73,AE73," ")))</f>
        <v>SC Pfullendorf</v>
      </c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136" t="s">
        <v>14</v>
      </c>
      <c r="AE93" s="271" t="str">
        <f>IF(ISBLANK(AZ77)," ",IF(AZ77&gt;BC77,I77,IF(AZ77&lt;BC77,AE77," ")))</f>
        <v>FC 08 Villingen</v>
      </c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2"/>
      <c r="AZ93" s="268">
        <v>0</v>
      </c>
      <c r="BA93" s="268"/>
      <c r="BB93" s="269"/>
      <c r="BC93" s="276">
        <v>1</v>
      </c>
      <c r="BD93" s="276"/>
      <c r="BE93" s="256"/>
      <c r="BF93" s="257"/>
      <c r="BG93" s="257"/>
      <c r="BH93" s="258"/>
      <c r="BO93" s="1"/>
      <c r="BT93" s="2"/>
      <c r="BU93" s="3"/>
      <c r="BX93" s="4"/>
      <c r="BY93" s="3"/>
      <c r="CD93" s="4"/>
      <c r="CI93" s="2"/>
      <c r="CM93" s="5"/>
    </row>
    <row r="94" spans="2:91" ht="14.25" thickBot="1" x14ac:dyDescent="0.2">
      <c r="B94" s="22"/>
      <c r="C94" s="239"/>
      <c r="D94" s="240"/>
      <c r="E94" s="242"/>
      <c r="F94" s="242"/>
      <c r="G94" s="242"/>
      <c r="H94" s="242"/>
      <c r="I94" s="259" t="s">
        <v>43</v>
      </c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138"/>
      <c r="AE94" s="245" t="s">
        <v>44</v>
      </c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6"/>
      <c r="AZ94" s="229"/>
      <c r="BA94" s="229"/>
      <c r="BB94" s="229"/>
      <c r="BC94" s="229"/>
      <c r="BD94" s="230"/>
      <c r="BE94" s="262"/>
      <c r="BF94" s="263"/>
      <c r="BG94" s="263"/>
      <c r="BH94" s="264"/>
      <c r="BO94" s="1"/>
      <c r="BT94" s="2"/>
      <c r="BU94" s="3"/>
      <c r="BX94" s="4"/>
      <c r="BY94" s="3"/>
      <c r="CD94" s="4"/>
      <c r="CI94" s="2"/>
      <c r="CM94" s="5"/>
    </row>
    <row r="95" spans="2:91" ht="13.5" x14ac:dyDescent="0.1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3.5" x14ac:dyDescent="0.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4.25" thickBo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20.100000000000001" customHeight="1" x14ac:dyDescent="0.15">
      <c r="B98" s="22"/>
      <c r="C98" s="22"/>
      <c r="D98" s="22"/>
      <c r="E98" s="22"/>
      <c r="F98" s="22"/>
      <c r="G98" s="22"/>
      <c r="H98" s="22"/>
      <c r="I98" s="22"/>
      <c r="J98" s="198" t="s">
        <v>46</v>
      </c>
      <c r="K98" s="199"/>
      <c r="L98" s="214" t="str">
        <f>IF(ISBLANK($BC$93)," ",IF($AZ$93&gt;$BC$93,$I$93,IF($BC$93&gt;$AZ$93,$AE$93)))</f>
        <v>FC 08 Villingen</v>
      </c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6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91" s="36" customFormat="1" ht="20.100000000000001" customHeight="1" x14ac:dyDescent="0.15">
      <c r="B99" s="22"/>
      <c r="C99" s="22"/>
      <c r="D99" s="22"/>
      <c r="E99" s="22"/>
      <c r="F99" s="22"/>
      <c r="G99" s="22"/>
      <c r="H99" s="22"/>
      <c r="I99" s="22"/>
      <c r="J99" s="195" t="s">
        <v>47</v>
      </c>
      <c r="K99" s="196"/>
      <c r="L99" s="211" t="str">
        <f>IF(ISBLANK($BC$93)," ",IF($AZ$93&lt;$BC$93,$I$93,IF($BC$93&lt;$AZ$93,$AE$93)))</f>
        <v>SC Pfullendorf</v>
      </c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3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91" s="36" customFormat="1" ht="20.100000000000001" customHeight="1" x14ac:dyDescent="0.15">
      <c r="B100" s="22"/>
      <c r="C100" s="22"/>
      <c r="D100" s="22"/>
      <c r="E100" s="22"/>
      <c r="F100" s="22"/>
      <c r="G100" s="22"/>
      <c r="H100" s="22"/>
      <c r="I100" s="22"/>
      <c r="J100" s="195" t="s">
        <v>48</v>
      </c>
      <c r="K100" s="196"/>
      <c r="L100" s="211" t="str">
        <f>IF(ISBLANK($BC$89)," ",IF($AZ$89&gt;$BC$89,$I$89,IF($BC$89&gt;$AZ$89,$AE$89)))</f>
        <v>FV Lörrach-Brombach</v>
      </c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3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91" s="36" customFormat="1" ht="20.100000000000001" customHeight="1" x14ac:dyDescent="0.15">
      <c r="B101" s="22"/>
      <c r="C101" s="22"/>
      <c r="D101" s="22"/>
      <c r="E101" s="22"/>
      <c r="F101" s="22"/>
      <c r="G101" s="22"/>
      <c r="H101" s="22"/>
      <c r="I101" s="22"/>
      <c r="J101" s="195" t="s">
        <v>49</v>
      </c>
      <c r="K101" s="196"/>
      <c r="L101" s="211" t="str">
        <f>IF(ISBLANK($BC$89)," ",IF($AZ$89&lt;$BC$89,$I$89,IF($BC$89&lt;$AZ$89,$AE$89)))</f>
        <v>Offenburger FV</v>
      </c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3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91" s="36" customFormat="1" ht="20.100000000000001" customHeight="1" x14ac:dyDescent="0.15">
      <c r="B102" s="22"/>
      <c r="C102" s="22"/>
      <c r="D102" s="22"/>
      <c r="E102" s="22"/>
      <c r="F102" s="22"/>
      <c r="G102" s="22"/>
      <c r="H102" s="22"/>
      <c r="I102" s="22"/>
      <c r="J102" s="195" t="s">
        <v>50</v>
      </c>
      <c r="K102" s="196"/>
      <c r="L102" s="211" t="str">
        <f>IF(ISBLANK($BC$85)," ",IF($AZ$85&gt;$BC$85,$I$85,IF($BC$85&gt;$AZ$85,$AE$85)))</f>
        <v>FC Pfaffenweiler</v>
      </c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3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91" s="36" customFormat="1" ht="20.100000000000001" customHeight="1" x14ac:dyDescent="0.15">
      <c r="B103" s="22"/>
      <c r="C103" s="22"/>
      <c r="D103" s="22"/>
      <c r="E103" s="22"/>
      <c r="F103" s="22"/>
      <c r="G103" s="22"/>
      <c r="H103" s="22"/>
      <c r="I103" s="22"/>
      <c r="J103" s="195" t="s">
        <v>51</v>
      </c>
      <c r="K103" s="196"/>
      <c r="L103" s="211" t="str">
        <f>IF(ISBLANK($BC$85)," ",IF($AZ$85&lt;$BC$85,$I$85,IF($BC$85&lt;$AZ$85,$AE$85)))</f>
        <v>SF Eintracht Freiburg</v>
      </c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3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91" s="36" customFormat="1" ht="20.100000000000001" customHeight="1" x14ac:dyDescent="0.15">
      <c r="B104" s="22"/>
      <c r="C104" s="22"/>
      <c r="D104" s="22"/>
      <c r="E104" s="22"/>
      <c r="F104" s="22"/>
      <c r="G104" s="22"/>
      <c r="H104" s="22"/>
      <c r="I104" s="22"/>
      <c r="J104" s="195" t="s">
        <v>52</v>
      </c>
      <c r="K104" s="196"/>
      <c r="L104" s="211" t="str">
        <f>IF(ISBLANK($BC$81)," ",IF($AZ$81&gt;$BC$81,$I$81,IF($BC$81&gt;$AZ$81,$AE$81)))</f>
        <v>SV 08 Kuppenheim</v>
      </c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3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91" s="36" customFormat="1" ht="20.100000000000001" customHeight="1" thickBot="1" x14ac:dyDescent="0.2">
      <c r="B105" s="22"/>
      <c r="C105" s="22"/>
      <c r="D105" s="22"/>
      <c r="E105" s="22"/>
      <c r="F105" s="22"/>
      <c r="G105" s="22"/>
      <c r="H105" s="22"/>
      <c r="I105" s="22"/>
      <c r="J105" s="193" t="s">
        <v>53</v>
      </c>
      <c r="K105" s="194"/>
      <c r="L105" s="208" t="str">
        <f>IF(ISBLANK($BC$81)," ",IF($AZ$81&lt;$BC$81,$I$81,IF($BC$81&lt;$AZ$81,$AE$81)))</f>
        <v>SSC Donaueschingen</v>
      </c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10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91" s="36" customFormat="1" ht="18" x14ac:dyDescent="0.15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2:91" s="36" customFormat="1" ht="18" x14ac:dyDescent="0.15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91" s="36" customFormat="1" x14ac:dyDescent="0.15">
      <c r="B108" s="412" t="s">
        <v>65</v>
      </c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  <c r="AD108" s="412"/>
      <c r="AE108" s="412"/>
      <c r="AF108" s="412"/>
      <c r="AG108" s="412"/>
      <c r="AH108" s="412"/>
      <c r="AI108" s="412"/>
      <c r="AJ108" s="412"/>
      <c r="AK108" s="412"/>
      <c r="AL108" s="412"/>
      <c r="AM108" s="412"/>
      <c r="AN108" s="412"/>
      <c r="AO108" s="412"/>
      <c r="AP108" s="412"/>
      <c r="AQ108" s="412"/>
      <c r="AR108" s="412"/>
      <c r="AS108" s="412"/>
      <c r="AT108" s="412"/>
      <c r="AU108" s="412"/>
      <c r="AV108" s="412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91" s="36" customFormat="1" x14ac:dyDescent="0.15">
      <c r="B109" s="413" t="s">
        <v>66</v>
      </c>
      <c r="C109" s="413"/>
      <c r="D109" s="413"/>
      <c r="E109" s="413"/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  <c r="AD109" s="413"/>
      <c r="AE109" s="413"/>
      <c r="AF109" s="413"/>
      <c r="AG109" s="413"/>
      <c r="AH109" s="413"/>
      <c r="AI109" s="413"/>
      <c r="AJ109" s="413"/>
      <c r="AK109" s="413"/>
      <c r="AL109" s="413"/>
      <c r="AM109" s="413"/>
      <c r="AN109" s="413"/>
      <c r="AO109" s="413"/>
      <c r="AP109" s="413"/>
      <c r="AQ109" s="413"/>
      <c r="AR109" s="413"/>
      <c r="AS109" s="413"/>
      <c r="AT109" s="413"/>
      <c r="AU109" s="413"/>
      <c r="AV109" s="413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91" s="36" customFormat="1" x14ac:dyDescent="0.15">
      <c r="B110" s="413" t="s">
        <v>67</v>
      </c>
      <c r="C110" s="413"/>
      <c r="D110" s="413"/>
      <c r="E110" s="413"/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/>
      <c r="AE110" s="413"/>
      <c r="AF110" s="413"/>
      <c r="AG110" s="413"/>
      <c r="AH110" s="413"/>
      <c r="AI110" s="413"/>
      <c r="AJ110" s="413"/>
      <c r="AK110" s="413"/>
      <c r="AL110" s="413"/>
      <c r="AM110" s="413"/>
      <c r="AN110" s="413"/>
      <c r="AO110" s="413"/>
      <c r="AP110" s="413"/>
      <c r="AQ110" s="413"/>
      <c r="AR110" s="413"/>
      <c r="AS110" s="413"/>
      <c r="AT110" s="413"/>
      <c r="AU110" s="413"/>
      <c r="AV110" s="413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91" s="36" customFormat="1" x14ac:dyDescent="0.15">
      <c r="B111" s="413" t="s">
        <v>68</v>
      </c>
      <c r="C111" s="413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3"/>
      <c r="AL111" s="413"/>
      <c r="AM111" s="413"/>
      <c r="AN111" s="413"/>
      <c r="AO111" s="413"/>
      <c r="AP111" s="413"/>
      <c r="AQ111" s="413"/>
      <c r="AR111" s="413"/>
      <c r="AS111" s="413"/>
      <c r="AT111" s="413"/>
      <c r="AU111" s="413"/>
      <c r="AV111" s="413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91" s="36" customFormat="1" x14ac:dyDescent="0.15">
      <c r="B112" s="411" t="s">
        <v>69</v>
      </c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1"/>
      <c r="AD112" s="411"/>
      <c r="AE112" s="411"/>
      <c r="AF112" s="411"/>
      <c r="AG112" s="411"/>
      <c r="AH112" s="411"/>
      <c r="AI112" s="411"/>
      <c r="AJ112" s="411"/>
      <c r="AK112" s="411"/>
      <c r="AL112" s="411"/>
      <c r="AM112" s="411"/>
      <c r="AN112" s="411"/>
      <c r="AO112" s="411"/>
      <c r="AP112" s="411"/>
      <c r="AQ112" s="411"/>
      <c r="AR112" s="411"/>
      <c r="AS112" s="411"/>
      <c r="AT112" s="411"/>
      <c r="AU112" s="411"/>
      <c r="AV112" s="411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x14ac:dyDescent="0.15">
      <c r="B113" s="410" t="s">
        <v>70</v>
      </c>
      <c r="C113" s="410"/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10"/>
      <c r="X113" s="410"/>
      <c r="Y113" s="410"/>
      <c r="Z113" s="410"/>
      <c r="AA113" s="410"/>
      <c r="AB113" s="410"/>
      <c r="AC113" s="410"/>
      <c r="AD113" s="410"/>
      <c r="AE113" s="410"/>
      <c r="AF113" s="410"/>
      <c r="AG113" s="410"/>
      <c r="AH113" s="410"/>
      <c r="AI113" s="410"/>
      <c r="AJ113" s="410"/>
      <c r="AK113" s="410"/>
      <c r="AL113" s="410"/>
      <c r="AM113" s="410"/>
      <c r="AN113" s="410"/>
      <c r="AO113" s="410"/>
      <c r="AP113" s="410"/>
      <c r="AQ113" s="410"/>
      <c r="AR113" s="410"/>
      <c r="AS113" s="410"/>
      <c r="AT113" s="410"/>
      <c r="AU113" s="410"/>
      <c r="AV113" s="410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x14ac:dyDescent="0.15">
      <c r="B114" s="410" t="s">
        <v>71</v>
      </c>
      <c r="C114" s="410"/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  <c r="Q114" s="410"/>
      <c r="R114" s="410"/>
      <c r="S114" s="410"/>
      <c r="T114" s="410"/>
      <c r="U114" s="410"/>
      <c r="V114" s="410"/>
      <c r="W114" s="410"/>
      <c r="X114" s="410"/>
      <c r="Y114" s="410"/>
      <c r="Z114" s="410"/>
      <c r="AA114" s="410"/>
      <c r="AB114" s="410"/>
      <c r="AC114" s="410"/>
      <c r="AD114" s="410"/>
      <c r="AE114" s="410"/>
      <c r="AF114" s="410"/>
      <c r="AG114" s="410"/>
      <c r="AH114" s="410"/>
      <c r="AI114" s="410"/>
      <c r="AJ114" s="410"/>
      <c r="AK114" s="410"/>
      <c r="AL114" s="410"/>
      <c r="AM114" s="410"/>
      <c r="AN114" s="410"/>
      <c r="AO114" s="410"/>
      <c r="AP114" s="410"/>
      <c r="AQ114" s="410"/>
      <c r="AR114" s="410"/>
      <c r="AS114" s="410"/>
      <c r="AT114" s="410"/>
      <c r="AU114" s="410"/>
      <c r="AV114" s="410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x14ac:dyDescent="0.15">
      <c r="B115" s="410" t="s">
        <v>72</v>
      </c>
      <c r="C115" s="410"/>
      <c r="D115" s="410"/>
      <c r="E115" s="410"/>
      <c r="F115" s="410"/>
      <c r="G115" s="410"/>
      <c r="H115" s="410"/>
      <c r="I115" s="410"/>
      <c r="J115" s="410"/>
      <c r="K115" s="410"/>
      <c r="L115" s="410"/>
      <c r="M115" s="410"/>
      <c r="N115" s="410"/>
      <c r="O115" s="410"/>
      <c r="P115" s="410"/>
      <c r="Q115" s="410"/>
      <c r="R115" s="410"/>
      <c r="S115" s="410"/>
      <c r="T115" s="410"/>
      <c r="U115" s="410"/>
      <c r="V115" s="410"/>
      <c r="W115" s="410"/>
      <c r="X115" s="410"/>
      <c r="Y115" s="410"/>
      <c r="Z115" s="410"/>
      <c r="AA115" s="410"/>
      <c r="AB115" s="410"/>
      <c r="AC115" s="410"/>
      <c r="AD115" s="410"/>
      <c r="AE115" s="410"/>
      <c r="AF115" s="410"/>
      <c r="AG115" s="410"/>
      <c r="AH115" s="410"/>
      <c r="AI115" s="410"/>
      <c r="AJ115" s="410"/>
      <c r="AK115" s="410"/>
      <c r="AL115" s="410"/>
      <c r="AM115" s="410"/>
      <c r="AN115" s="410"/>
      <c r="AO115" s="410"/>
      <c r="AP115" s="410"/>
      <c r="AQ115" s="410"/>
      <c r="AR115" s="410"/>
      <c r="AS115" s="410"/>
      <c r="AT115" s="410"/>
      <c r="AU115" s="410"/>
      <c r="AV115" s="410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x14ac:dyDescent="0.15">
      <c r="B116" s="410" t="s">
        <v>73</v>
      </c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  <c r="T116" s="410"/>
      <c r="U116" s="410"/>
      <c r="V116" s="410"/>
      <c r="W116" s="410"/>
      <c r="X116" s="410"/>
      <c r="Y116" s="410"/>
      <c r="Z116" s="410"/>
      <c r="AA116" s="410"/>
      <c r="AB116" s="410"/>
      <c r="AC116" s="410"/>
      <c r="AD116" s="410"/>
      <c r="AE116" s="410"/>
      <c r="AF116" s="410"/>
      <c r="AG116" s="410"/>
      <c r="AH116" s="410"/>
      <c r="AI116" s="410"/>
      <c r="AJ116" s="410"/>
      <c r="AK116" s="410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  <c r="AV116" s="410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2:86" s="36" customFormat="1" x14ac:dyDescent="0.1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2:86" s="36" customFormat="1" hidden="1" x14ac:dyDescent="0.15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2:86" s="36" customFormat="1" hidden="1" x14ac:dyDescent="0.15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2:86" s="36" customFormat="1" hidden="1" x14ac:dyDescent="0.15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2:86" s="36" customFormat="1" hidden="1" x14ac:dyDescent="0.15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2:86" s="36" customFormat="1" hidden="1" x14ac:dyDescent="0.15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2:86" s="36" customFormat="1" hidden="1" x14ac:dyDescent="0.15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2:86" s="36" customFormat="1" hidden="1" x14ac:dyDescent="0.15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2:86" s="36" customFormat="1" hidden="1" x14ac:dyDescent="0.15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2:86" s="36" customFormat="1" hidden="1" x14ac:dyDescent="0.15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2:86" s="36" customFormat="1" hidden="1" x14ac:dyDescent="0.15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2:86" s="36" customFormat="1" hidden="1" x14ac:dyDescent="0.15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idden="1" x14ac:dyDescent="0.15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idden="1" x14ac:dyDescent="0.15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idden="1" x14ac:dyDescent="0.15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idden="1" x14ac:dyDescent="0.15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idden="1" x14ac:dyDescent="0.15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idden="1" x14ac:dyDescent="0.15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idden="1" x14ac:dyDescent="0.15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idden="1" x14ac:dyDescent="0.15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idden="1" x14ac:dyDescent="0.15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idden="1" x14ac:dyDescent="0.15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idden="1" x14ac:dyDescent="0.15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idden="1" x14ac:dyDescent="0.15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idden="1" x14ac:dyDescent="0.15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idden="1" x14ac:dyDescent="0.15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idden="1" x14ac:dyDescent="0.15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idden="1" x14ac:dyDescent="0.15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idden="1" x14ac:dyDescent="0.15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idden="1" x14ac:dyDescent="0.15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idden="1" x14ac:dyDescent="0.15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idden="1" x14ac:dyDescent="0.15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idden="1" x14ac:dyDescent="0.15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idden="1" x14ac:dyDescent="0.15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idden="1" x14ac:dyDescent="0.15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idden="1" x14ac:dyDescent="0.15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idden="1" x14ac:dyDescent="0.15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idden="1" x14ac:dyDescent="0.15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idden="1" x14ac:dyDescent="0.15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idden="1" x14ac:dyDescent="0.15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idden="1" x14ac:dyDescent="0.15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idden="1" x14ac:dyDescent="0.15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idden="1" x14ac:dyDescent="0.15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idden="1" x14ac:dyDescent="0.15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idden="1" x14ac:dyDescent="0.15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idden="1" x14ac:dyDescent="0.15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idden="1" x14ac:dyDescent="0.15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idden="1" x14ac:dyDescent="0.15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idden="1" x14ac:dyDescent="0.15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idden="1" x14ac:dyDescent="0.15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idden="1" x14ac:dyDescent="0.15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idden="1" x14ac:dyDescent="0.15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idden="1" x14ac:dyDescent="0.15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idden="1" x14ac:dyDescent="0.15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idden="1" x14ac:dyDescent="0.15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idden="1" x14ac:dyDescent="0.15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idden="1" x14ac:dyDescent="0.15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idden="1" x14ac:dyDescent="0.15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idden="1" x14ac:dyDescent="0.15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idden="1" x14ac:dyDescent="0.15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idden="1" x14ac:dyDescent="0.15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idden="1" x14ac:dyDescent="0.15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idden="1" x14ac:dyDescent="0.15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idden="1" x14ac:dyDescent="0.15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idden="1" x14ac:dyDescent="0.15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idden="1" x14ac:dyDescent="0.15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idden="1" x14ac:dyDescent="0.15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idden="1" x14ac:dyDescent="0.15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idden="1" x14ac:dyDescent="0.15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idden="1" x14ac:dyDescent="0.15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idden="1" x14ac:dyDescent="0.15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idden="1" x14ac:dyDescent="0.15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idden="1" x14ac:dyDescent="0.15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idden="1" x14ac:dyDescent="0.15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idden="1" x14ac:dyDescent="0.15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idden="1" x14ac:dyDescent="0.15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idden="1" x14ac:dyDescent="0.15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idden="1" x14ac:dyDescent="0.15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idden="1" x14ac:dyDescent="0.15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idden="1" x14ac:dyDescent="0.15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idden="1" x14ac:dyDescent="0.15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idden="1" x14ac:dyDescent="0.15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idden="1" x14ac:dyDescent="0.15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idden="1" x14ac:dyDescent="0.15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idden="1" x14ac:dyDescent="0.15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idden="1" x14ac:dyDescent="0.15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idden="1" x14ac:dyDescent="0.15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idden="1" x14ac:dyDescent="0.15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idden="1" x14ac:dyDescent="0.15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idden="1" x14ac:dyDescent="0.15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idden="1" x14ac:dyDescent="0.15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idden="1" x14ac:dyDescent="0.15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idden="1" x14ac:dyDescent="0.15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idden="1" x14ac:dyDescent="0.15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idden="1" x14ac:dyDescent="0.15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idden="1" x14ac:dyDescent="0.15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idden="1" x14ac:dyDescent="0.15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idden="1" x14ac:dyDescent="0.15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idden="1" x14ac:dyDescent="0.15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idden="1" x14ac:dyDescent="0.15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idden="1" x14ac:dyDescent="0.15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idden="1" x14ac:dyDescent="0.15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idden="1" x14ac:dyDescent="0.15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idden="1" x14ac:dyDescent="0.15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idden="1" x14ac:dyDescent="0.15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idden="1" x14ac:dyDescent="0.15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idden="1" x14ac:dyDescent="0.15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idden="1" x14ac:dyDescent="0.15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idden="1" x14ac:dyDescent="0.15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idden="1" x14ac:dyDescent="0.15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idden="1" x14ac:dyDescent="0.15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idden="1" x14ac:dyDescent="0.15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idden="1" x14ac:dyDescent="0.15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idden="1" x14ac:dyDescent="0.15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idden="1" x14ac:dyDescent="0.15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idden="1" x14ac:dyDescent="0.15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idden="1" x14ac:dyDescent="0.15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idden="1" x14ac:dyDescent="0.15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idden="1" x14ac:dyDescent="0.15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idden="1" x14ac:dyDescent="0.15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idden="1" x14ac:dyDescent="0.15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idden="1" x14ac:dyDescent="0.15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idden="1" x14ac:dyDescent="0.15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idden="1" x14ac:dyDescent="0.15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idden="1" x14ac:dyDescent="0.15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idden="1" x14ac:dyDescent="0.15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idden="1" x14ac:dyDescent="0.15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idden="1" x14ac:dyDescent="0.15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idden="1" x14ac:dyDescent="0.15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idden="1" x14ac:dyDescent="0.15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idden="1" x14ac:dyDescent="0.15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idden="1" x14ac:dyDescent="0.15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idden="1" x14ac:dyDescent="0.15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idden="1" x14ac:dyDescent="0.15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idden="1" x14ac:dyDescent="0.15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idden="1" x14ac:dyDescent="0.15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idden="1" x14ac:dyDescent="0.15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idden="1" x14ac:dyDescent="0.15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idden="1" x14ac:dyDescent="0.15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idden="1" x14ac:dyDescent="0.15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idden="1" x14ac:dyDescent="0.15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idden="1" x14ac:dyDescent="0.15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idden="1" x14ac:dyDescent="0.15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idden="1" x14ac:dyDescent="0.15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idden="1" x14ac:dyDescent="0.15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idden="1" x14ac:dyDescent="0.15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idden="1" x14ac:dyDescent="0.15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idden="1" x14ac:dyDescent="0.15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idden="1" x14ac:dyDescent="0.15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idden="1" x14ac:dyDescent="0.15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idden="1" x14ac:dyDescent="0.15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idden="1" x14ac:dyDescent="0.15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idden="1" x14ac:dyDescent="0.15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idden="1" x14ac:dyDescent="0.15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idden="1" x14ac:dyDescent="0.15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idden="1" x14ac:dyDescent="0.15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idden="1" x14ac:dyDescent="0.15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idden="1" x14ac:dyDescent="0.15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idden="1" x14ac:dyDescent="0.15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idden="1" x14ac:dyDescent="0.15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idden="1" x14ac:dyDescent="0.15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idden="1" x14ac:dyDescent="0.15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idden="1" x14ac:dyDescent="0.15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idden="1" x14ac:dyDescent="0.15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idden="1" x14ac:dyDescent="0.15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idden="1" x14ac:dyDescent="0.15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idden="1" x14ac:dyDescent="0.15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idden="1" x14ac:dyDescent="0.15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idden="1" x14ac:dyDescent="0.15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idden="1" x14ac:dyDescent="0.15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idden="1" x14ac:dyDescent="0.15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idden="1" x14ac:dyDescent="0.15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idden="1" x14ac:dyDescent="0.15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idden="1" x14ac:dyDescent="0.15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idden="1" x14ac:dyDescent="0.15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idden="1" x14ac:dyDescent="0.15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idden="1" x14ac:dyDescent="0.15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idden="1" x14ac:dyDescent="0.15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idden="1" x14ac:dyDescent="0.15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idden="1" x14ac:dyDescent="0.15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idden="1" x14ac:dyDescent="0.15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idden="1" x14ac:dyDescent="0.15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idden="1" x14ac:dyDescent="0.15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idden="1" x14ac:dyDescent="0.15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idden="1" x14ac:dyDescent="0.15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idden="1" x14ac:dyDescent="0.15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idden="1" x14ac:dyDescent="0.15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idden="1" x14ac:dyDescent="0.15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idden="1" x14ac:dyDescent="0.15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idden="1" x14ac:dyDescent="0.15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idden="1" x14ac:dyDescent="0.15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idden="1" x14ac:dyDescent="0.15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idden="1" x14ac:dyDescent="0.15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idden="1" x14ac:dyDescent="0.15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idden="1" x14ac:dyDescent="0.15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idden="1" x14ac:dyDescent="0.15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idden="1" x14ac:dyDescent="0.15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idden="1" x14ac:dyDescent="0.15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idden="1" x14ac:dyDescent="0.15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idden="1" x14ac:dyDescent="0.15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idden="1" x14ac:dyDescent="0.15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idden="1" x14ac:dyDescent="0.15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idden="1" x14ac:dyDescent="0.15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idden="1" x14ac:dyDescent="0.15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idden="1" x14ac:dyDescent="0.15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idden="1" x14ac:dyDescent="0.15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idden="1" x14ac:dyDescent="0.15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idden="1" x14ac:dyDescent="0.15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idden="1" x14ac:dyDescent="0.15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idden="1" x14ac:dyDescent="0.15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idden="1" x14ac:dyDescent="0.15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idden="1" x14ac:dyDescent="0.15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idden="1" x14ac:dyDescent="0.15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idden="1" x14ac:dyDescent="0.15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idden="1" x14ac:dyDescent="0.15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idden="1" x14ac:dyDescent="0.15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idden="1" x14ac:dyDescent="0.15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idden="1" x14ac:dyDescent="0.15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idden="1" x14ac:dyDescent="0.15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idden="1" x14ac:dyDescent="0.15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idden="1" x14ac:dyDescent="0.15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idden="1" x14ac:dyDescent="0.15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idden="1" x14ac:dyDescent="0.15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idden="1" x14ac:dyDescent="0.15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idden="1" x14ac:dyDescent="0.15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idden="1" x14ac:dyDescent="0.15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idden="1" x14ac:dyDescent="0.15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idden="1" x14ac:dyDescent="0.15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idden="1" x14ac:dyDescent="0.15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idden="1" x14ac:dyDescent="0.15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idden="1" x14ac:dyDescent="0.15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idden="1" x14ac:dyDescent="0.15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idden="1" x14ac:dyDescent="0.15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idden="1" x14ac:dyDescent="0.15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idden="1" x14ac:dyDescent="0.15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idden="1" x14ac:dyDescent="0.15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idden="1" x14ac:dyDescent="0.15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idden="1" x14ac:dyDescent="0.15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idden="1" x14ac:dyDescent="0.15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idden="1" x14ac:dyDescent="0.15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idden="1" x14ac:dyDescent="0.15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idden="1" x14ac:dyDescent="0.15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idden="1" x14ac:dyDescent="0.15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idden="1" x14ac:dyDescent="0.15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idden="1" x14ac:dyDescent="0.15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idden="1" x14ac:dyDescent="0.15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idden="1" x14ac:dyDescent="0.15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idden="1" x14ac:dyDescent="0.15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idden="1" x14ac:dyDescent="0.15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idden="1" x14ac:dyDescent="0.15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idden="1" x14ac:dyDescent="0.15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idden="1" x14ac:dyDescent="0.15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idden="1" x14ac:dyDescent="0.15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idden="1" x14ac:dyDescent="0.15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idden="1" x14ac:dyDescent="0.15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idden="1" x14ac:dyDescent="0.15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idden="1" x14ac:dyDescent="0.15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idden="1" x14ac:dyDescent="0.15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idden="1" x14ac:dyDescent="0.15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idden="1" x14ac:dyDescent="0.15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idden="1" x14ac:dyDescent="0.15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idden="1" x14ac:dyDescent="0.15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idden="1" x14ac:dyDescent="0.15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idden="1" x14ac:dyDescent="0.15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idden="1" x14ac:dyDescent="0.15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idden="1" x14ac:dyDescent="0.15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idden="1" x14ac:dyDescent="0.15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idden="1" x14ac:dyDescent="0.15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2:86" s="36" customFormat="1" hidden="1" x14ac:dyDescent="0.15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2:86" s="36" customFormat="1" hidden="1" x14ac:dyDescent="0.15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2:86" s="36" customFormat="1" hidden="1" x14ac:dyDescent="0.15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2:86" s="36" customFormat="1" hidden="1" x14ac:dyDescent="0.15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2:86" s="36" customFormat="1" hidden="1" x14ac:dyDescent="0.15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2:86" s="36" customFormat="1" hidden="1" x14ac:dyDescent="0.15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2:86" s="36" customFormat="1" hidden="1" x14ac:dyDescent="0.15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2:86" s="36" customFormat="1" hidden="1" x14ac:dyDescent="0.15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2:86" s="36" customFormat="1" hidden="1" x14ac:dyDescent="0.15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2:86" s="36" customFormat="1" hidden="1" x14ac:dyDescent="0.15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2:86" s="36" customFormat="1" hidden="1" x14ac:dyDescent="0.15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idden="1" x14ac:dyDescent="0.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idden="1" x14ac:dyDescent="0.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</sheetData>
  <sheetProtection sheet="1" scenarios="1" selectLockedCells="1"/>
  <mergeCells count="408"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  <mergeCell ref="K48:AG48"/>
    <mergeCell ref="M65:AG65"/>
    <mergeCell ref="M64:AG64"/>
    <mergeCell ref="M63:AG63"/>
    <mergeCell ref="M62:AG62"/>
    <mergeCell ref="M52:AG52"/>
    <mergeCell ref="M51:AG51"/>
    <mergeCell ref="M50:AG50"/>
    <mergeCell ref="M49:AG49"/>
    <mergeCell ref="K62:L62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AZ72:BD72"/>
    <mergeCell ref="AH41:AJ48"/>
    <mergeCell ref="AQ54:AS61"/>
    <mergeCell ref="AN54:AP61"/>
    <mergeCell ref="AK54:AM61"/>
    <mergeCell ref="AQ41:AS48"/>
    <mergeCell ref="AN41:AP48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AQ49:AS49"/>
    <mergeCell ref="AN49:AP49"/>
    <mergeCell ref="AK49:AM49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H36:BB36"/>
    <mergeCell ref="H35:K35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C18:AW18"/>
    <mergeCell ref="D18:X18"/>
    <mergeCell ref="B14:G14"/>
    <mergeCell ref="B11:G11"/>
    <mergeCell ref="H11:K11"/>
    <mergeCell ref="U11:V11"/>
    <mergeCell ref="X11:AB11"/>
    <mergeCell ref="AZ3:BG3"/>
    <mergeCell ref="AC20:AW20"/>
    <mergeCell ref="AC19:AW19"/>
    <mergeCell ref="AC22:AW22"/>
    <mergeCell ref="AC21:AW21"/>
    <mergeCell ref="C28:D28"/>
    <mergeCell ref="C27:D27"/>
    <mergeCell ref="E27:G27"/>
    <mergeCell ref="C30:D30"/>
    <mergeCell ref="C31:D31"/>
    <mergeCell ref="C51:F51"/>
    <mergeCell ref="C47:I47"/>
    <mergeCell ref="G48:I48"/>
    <mergeCell ref="C48:F48"/>
    <mergeCell ref="C49:F49"/>
    <mergeCell ref="C50:F50"/>
    <mergeCell ref="E30:G30"/>
    <mergeCell ref="H33:K33"/>
    <mergeCell ref="H30:K30"/>
    <mergeCell ref="BC26:BG26"/>
    <mergeCell ref="BC27:BE27"/>
    <mergeCell ref="BC28:BE28"/>
    <mergeCell ref="BF29:BG29"/>
    <mergeCell ref="BF27:BG27"/>
    <mergeCell ref="BC29:BE29"/>
    <mergeCell ref="BF28:BG28"/>
    <mergeCell ref="BC31:BE31"/>
    <mergeCell ref="BF33:BG33"/>
    <mergeCell ref="BF31:BG31"/>
    <mergeCell ref="BF32:BG32"/>
    <mergeCell ref="BF36:BG36"/>
    <mergeCell ref="BC37:BE37"/>
    <mergeCell ref="BF38:BG38"/>
    <mergeCell ref="BC38:BE38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H38:K38"/>
    <mergeCell ref="L38:AF38"/>
    <mergeCell ref="L37:AF37"/>
    <mergeCell ref="L36:AF36"/>
    <mergeCell ref="H70:K70"/>
    <mergeCell ref="AN70:AV70"/>
    <mergeCell ref="AW70:BA70"/>
    <mergeCell ref="BC61:BE61"/>
    <mergeCell ref="BC62:BE62"/>
    <mergeCell ref="AH37:BB37"/>
    <mergeCell ref="C93:D94"/>
    <mergeCell ref="C92:D92"/>
    <mergeCell ref="C76:D76"/>
    <mergeCell ref="C73:D74"/>
    <mergeCell ref="C88:D88"/>
    <mergeCell ref="C80:D80"/>
    <mergeCell ref="C85:D86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33:D33"/>
    <mergeCell ref="C72:D72"/>
    <mergeCell ref="C34:D34"/>
    <mergeCell ref="C35:D35"/>
    <mergeCell ref="C32:D32"/>
    <mergeCell ref="C60:I60"/>
    <mergeCell ref="C62:F62"/>
    <mergeCell ref="L26:BB26"/>
    <mergeCell ref="U70:V70"/>
    <mergeCell ref="E33:G33"/>
    <mergeCell ref="E31:G31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AZ62:BB62"/>
    <mergeCell ref="AZ61:BB61"/>
    <mergeCell ref="K65:L65"/>
    <mergeCell ref="AT62:AV62"/>
    <mergeCell ref="G65:I65"/>
    <mergeCell ref="AN62:AP62"/>
    <mergeCell ref="AK65:AM65"/>
    <mergeCell ref="AK62:AM62"/>
    <mergeCell ref="AK64:AM64"/>
    <mergeCell ref="AK63:AM63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BC65:BE65"/>
    <mergeCell ref="AZ65:BB65"/>
    <mergeCell ref="BC63:BE63"/>
    <mergeCell ref="AZ64:BB64"/>
    <mergeCell ref="AT63:AV63"/>
    <mergeCell ref="BF63:BG63"/>
    <mergeCell ref="BI64:BJ64"/>
    <mergeCell ref="BF64:BG64"/>
    <mergeCell ref="AW65:AY65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AW61:AY61"/>
    <mergeCell ref="AW62:AY62"/>
    <mergeCell ref="AW63:AY63"/>
    <mergeCell ref="AT52:AV52"/>
    <mergeCell ref="AT61:AV61"/>
    <mergeCell ref="AW52:AY52"/>
    <mergeCell ref="AT48:AV48"/>
    <mergeCell ref="AW48:AY48"/>
    <mergeCell ref="AZ48:BB48"/>
    <mergeCell ref="BC48:BE48"/>
    <mergeCell ref="AW49:AY49"/>
    <mergeCell ref="AW51:AY51"/>
    <mergeCell ref="AT49:AV49"/>
    <mergeCell ref="BC36:BE36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BK49:BM49"/>
    <mergeCell ref="BK50:BM50"/>
    <mergeCell ref="BN50:BP50"/>
    <mergeCell ref="BN51:BP51"/>
    <mergeCell ref="BN61:BP61"/>
    <mergeCell ref="BF61:BJ61"/>
    <mergeCell ref="BK61:BM61"/>
    <mergeCell ref="BN65:BP65"/>
    <mergeCell ref="BK62:BM62"/>
    <mergeCell ref="BI62:BJ62"/>
    <mergeCell ref="BF62:BG62"/>
    <mergeCell ref="BN63:BP63"/>
    <mergeCell ref="BN64:BP64"/>
    <mergeCell ref="K49:L49"/>
    <mergeCell ref="AW64:AY64"/>
    <mergeCell ref="AZ82:BD82"/>
    <mergeCell ref="BE80:BH80"/>
    <mergeCell ref="BE78:BH78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2:BP52"/>
    <mergeCell ref="BI52:BJ52"/>
    <mergeCell ref="BK52:BM52"/>
    <mergeCell ref="BK51:BM51"/>
    <mergeCell ref="BI51:BJ51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94:BH94"/>
    <mergeCell ref="BE93:BH93"/>
    <mergeCell ref="BE92:BH92"/>
    <mergeCell ref="BE90:BH90"/>
    <mergeCell ref="BE88:BH88"/>
    <mergeCell ref="BE86:BH86"/>
    <mergeCell ref="I72:AY72"/>
    <mergeCell ref="AZ93:BB93"/>
    <mergeCell ref="AZ94:BD94"/>
    <mergeCell ref="AZ90:BD90"/>
    <mergeCell ref="AZ89:BB89"/>
    <mergeCell ref="BC89:BD89"/>
    <mergeCell ref="AZ74:BD74"/>
    <mergeCell ref="BC73:BD73"/>
    <mergeCell ref="AZ85:BB85"/>
    <mergeCell ref="BC85:BD85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AE94:AY94"/>
    <mergeCell ref="I92:AY92"/>
    <mergeCell ref="I89:AC89"/>
    <mergeCell ref="E76:H76"/>
    <mergeCell ref="AE78:AY78"/>
    <mergeCell ref="I80:AY80"/>
    <mergeCell ref="AE77:AY77"/>
    <mergeCell ref="AE85:AY85"/>
    <mergeCell ref="AE81:AY81"/>
    <mergeCell ref="I84:AY84"/>
    <mergeCell ref="AE82:AY82"/>
    <mergeCell ref="I81:AC81"/>
    <mergeCell ref="L27:AF27"/>
    <mergeCell ref="H29:K29"/>
    <mergeCell ref="H28:K28"/>
    <mergeCell ref="H27:K27"/>
    <mergeCell ref="L29:AF29"/>
    <mergeCell ref="AH35:BB35"/>
    <mergeCell ref="K52:L52"/>
    <mergeCell ref="K50:L50"/>
    <mergeCell ref="H34:K34"/>
    <mergeCell ref="G49:I49"/>
    <mergeCell ref="G51:I51"/>
    <mergeCell ref="G50:I50"/>
    <mergeCell ref="K51:L51"/>
    <mergeCell ref="AH28:BB28"/>
    <mergeCell ref="AH27:BB27"/>
    <mergeCell ref="L31:AF31"/>
    <mergeCell ref="AH38:BB38"/>
    <mergeCell ref="AH33:BB33"/>
    <mergeCell ref="L33:AF33"/>
    <mergeCell ref="AW50:AY50"/>
    <mergeCell ref="AT50:AV50"/>
    <mergeCell ref="AT51:AV51"/>
    <mergeCell ref="L32:AF32"/>
    <mergeCell ref="G52:I52"/>
    <mergeCell ref="BE89:BH89"/>
    <mergeCell ref="AZ88:BD88"/>
    <mergeCell ref="I82:AC82"/>
    <mergeCell ref="AZ84:BD84"/>
    <mergeCell ref="E88:H88"/>
    <mergeCell ref="BE82:BH82"/>
    <mergeCell ref="BE81:BH81"/>
    <mergeCell ref="BE85:BH85"/>
    <mergeCell ref="L28:AF28"/>
    <mergeCell ref="K61:AG61"/>
    <mergeCell ref="C52:F52"/>
    <mergeCell ref="AZ73:BB73"/>
    <mergeCell ref="G62:I62"/>
    <mergeCell ref="I73:AC73"/>
    <mergeCell ref="I74:AC74"/>
    <mergeCell ref="AE73:AY73"/>
    <mergeCell ref="G63:I63"/>
    <mergeCell ref="AQ63:AS63"/>
    <mergeCell ref="AQ62:AS62"/>
    <mergeCell ref="AN63:AP63"/>
    <mergeCell ref="AZ78:BD78"/>
    <mergeCell ref="BC77:BD77"/>
    <mergeCell ref="AZ77:BB77"/>
    <mergeCell ref="C65:F65"/>
    <mergeCell ref="L34:AF34"/>
    <mergeCell ref="L35:AF35"/>
    <mergeCell ref="BC32:BE32"/>
    <mergeCell ref="BF35:BG35"/>
    <mergeCell ref="AI70:AM70"/>
    <mergeCell ref="BC30:BE30"/>
    <mergeCell ref="BC33:BE33"/>
    <mergeCell ref="AZ86:BD86"/>
    <mergeCell ref="C61:F61"/>
    <mergeCell ref="G61:I61"/>
    <mergeCell ref="BE84:BH84"/>
    <mergeCell ref="C81:D82"/>
    <mergeCell ref="E81:H82"/>
    <mergeCell ref="C64:F64"/>
    <mergeCell ref="E72:H72"/>
    <mergeCell ref="E73:H74"/>
    <mergeCell ref="G64:I64"/>
    <mergeCell ref="AE74:AY74"/>
    <mergeCell ref="K64:L64"/>
    <mergeCell ref="AQ65:AS65"/>
    <mergeCell ref="AQ64:AS64"/>
    <mergeCell ref="AN65:AP65"/>
    <mergeCell ref="AN64:AP64"/>
    <mergeCell ref="BF52:BG52"/>
    <mergeCell ref="J105:K105"/>
    <mergeCell ref="J104:K104"/>
    <mergeCell ref="J103:K103"/>
    <mergeCell ref="J102:K102"/>
    <mergeCell ref="J101:K101"/>
    <mergeCell ref="J100:K100"/>
    <mergeCell ref="AW14:BA14"/>
    <mergeCell ref="J99:K99"/>
    <mergeCell ref="J98:K98"/>
    <mergeCell ref="H14:K14"/>
    <mergeCell ref="U14:V14"/>
    <mergeCell ref="X14:AB14"/>
    <mergeCell ref="H26:K26"/>
    <mergeCell ref="X70:AB70"/>
    <mergeCell ref="AC70:AH70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</mergeCells>
  <phoneticPr fontId="2" type="noConversion"/>
  <conditionalFormatting sqref="I77 I89 I93 I73 I85 I81 L27:L38">
    <cfRule type="expression" dxfId="83" priority="1" stopIfTrue="1">
      <formula>AND(AZ27&gt;BC27,AZ27&lt;&gt;"",BC27&lt;&gt;"")</formula>
    </cfRule>
    <cfRule type="expression" dxfId="82" priority="2" stopIfTrue="1">
      <formula>AND(AZ27=BC27,AZ27&lt;&gt;"",BC27&lt;&gt;"")</formula>
    </cfRule>
    <cfRule type="expression" dxfId="81" priority="3" stopIfTrue="1">
      <formula>AND(AZ27&lt;BC27,AZ27&lt;&gt;"",BC27&lt;&gt;"")</formula>
    </cfRule>
  </conditionalFormatting>
  <conditionalFormatting sqref="AE77 AE89 AE93 AE73 AE85 AE81 AH27:AH38">
    <cfRule type="expression" dxfId="80" priority="4" stopIfTrue="1">
      <formula>AND(BC27&gt;AZ27,AZ27&lt;&gt;"",BC27&lt;&gt;"")</formula>
    </cfRule>
    <cfRule type="expression" dxfId="79" priority="5" stopIfTrue="1">
      <formula>AND(BC27=AZ27,AZ27&lt;&gt;"",BC27&lt;&gt;"")</formula>
    </cfRule>
    <cfRule type="expression" dxfId="78" priority="6" stopIfTrue="1">
      <formula>AND(BC27&lt;AZ27,AZ27&lt;&gt;"",BC27&lt;&gt;"")</formula>
    </cfRule>
  </conditionalFormatting>
  <conditionalFormatting sqref="BC27:BE38 AZ73:BB73 AZ77:BB77 AZ89:BB89 AZ93:BB93 AZ81:BB81 AZ85:BB85">
    <cfRule type="expression" dxfId="77" priority="7" stopIfTrue="1">
      <formula>AND(BC27&lt;&gt;"",ISBLANK(AZ27))</formula>
    </cfRule>
    <cfRule type="expression" dxfId="76" priority="8" stopIfTrue="1">
      <formula>ISBLANK(AZ27)</formula>
    </cfRule>
  </conditionalFormatting>
  <conditionalFormatting sqref="BF27:BG38 BC73:BD73 BC77:BD77 BC89:BD89 BC93:BD93 BC81:BD81 BC85:BD85">
    <cfRule type="expression" dxfId="75" priority="9" stopIfTrue="1">
      <formula>AND(AZ27&lt;&gt;"",ISBLANK(BC27))</formula>
    </cfRule>
    <cfRule type="expression" dxfId="74" priority="10" stopIfTrue="1">
      <formula>ISBLANK(BC27)</formula>
    </cfRule>
  </conditionalFormatting>
  <conditionalFormatting sqref="AT53:BP59 AH52:BP52 M53:M59">
    <cfRule type="expression" dxfId="73" priority="11" stopIfTrue="1">
      <formula>$K$52=""</formula>
    </cfRule>
  </conditionalFormatting>
  <conditionalFormatting sqref="AH49:BP49">
    <cfRule type="expression" dxfId="72" priority="12" stopIfTrue="1">
      <formula>$K$50=""</formula>
    </cfRule>
  </conditionalFormatting>
  <conditionalFormatting sqref="AH50:BP50">
    <cfRule type="expression" dxfId="71" priority="13" stopIfTrue="1">
      <formula>$K$50=""</formula>
    </cfRule>
    <cfRule type="expression" dxfId="70" priority="14" stopIfTrue="1">
      <formula>$K$51=""</formula>
    </cfRule>
  </conditionalFormatting>
  <conditionalFormatting sqref="AH51:BP51">
    <cfRule type="expression" dxfId="69" priority="15" stopIfTrue="1">
      <formula>$K$51=""</formula>
    </cfRule>
    <cfRule type="expression" dxfId="68" priority="16" stopIfTrue="1">
      <formula>$K$52=""</formula>
    </cfRule>
  </conditionalFormatting>
  <conditionalFormatting sqref="AH62:BP62">
    <cfRule type="expression" dxfId="67" priority="17" stopIfTrue="1">
      <formula>$K$63=""</formula>
    </cfRule>
  </conditionalFormatting>
  <conditionalFormatting sqref="AH63:BP63">
    <cfRule type="expression" dxfId="66" priority="18" stopIfTrue="1">
      <formula>$K$63=""</formula>
    </cfRule>
    <cfRule type="expression" dxfId="65" priority="19" stopIfTrue="1">
      <formula>$K$64=""</formula>
    </cfRule>
  </conditionalFormatting>
  <conditionalFormatting sqref="AH64:BP64">
    <cfRule type="expression" dxfId="64" priority="20" stopIfTrue="1">
      <formula>$K$64=""</formula>
    </cfRule>
    <cfRule type="expression" dxfId="63" priority="21" stopIfTrue="1">
      <formula>$K$65=""</formula>
    </cfRule>
  </conditionalFormatting>
  <conditionalFormatting sqref="AH65:BP65">
    <cfRule type="expression" dxfId="62" priority="22" stopIfTrue="1">
      <formula>$K$65=""</formula>
    </cfRule>
  </conditionalFormatting>
  <conditionalFormatting sqref="M49">
    <cfRule type="expression" dxfId="61" priority="23" stopIfTrue="1">
      <formula>$AT$49=""</formula>
    </cfRule>
    <cfRule type="expression" dxfId="60" priority="24" stopIfTrue="1">
      <formula>$K$50=""</formula>
    </cfRule>
  </conditionalFormatting>
  <conditionalFormatting sqref="M50">
    <cfRule type="expression" dxfId="59" priority="25" stopIfTrue="1">
      <formula>$AT$50=""</formula>
    </cfRule>
    <cfRule type="expression" dxfId="58" priority="26" stopIfTrue="1">
      <formula>$K$50=""</formula>
    </cfRule>
    <cfRule type="expression" dxfId="57" priority="27" stopIfTrue="1">
      <formula>$K$51=""</formula>
    </cfRule>
  </conditionalFormatting>
  <conditionalFormatting sqref="M51">
    <cfRule type="expression" dxfId="56" priority="28" stopIfTrue="1">
      <formula>$AT$51=""</formula>
    </cfRule>
    <cfRule type="expression" dxfId="55" priority="29" stopIfTrue="1">
      <formula>$K$51=""</formula>
    </cfRule>
    <cfRule type="expression" dxfId="54" priority="30" stopIfTrue="1">
      <formula>$K$52=""</formula>
    </cfRule>
  </conditionalFormatting>
  <conditionalFormatting sqref="M52">
    <cfRule type="expression" dxfId="53" priority="31" stopIfTrue="1">
      <formula>$AT$52=""</formula>
    </cfRule>
    <cfRule type="expression" dxfId="52" priority="32" stopIfTrue="1">
      <formula>$K$52=""</formula>
    </cfRule>
  </conditionalFormatting>
  <conditionalFormatting sqref="M62">
    <cfRule type="expression" dxfId="51" priority="33" stopIfTrue="1">
      <formula>$AT$62=""</formula>
    </cfRule>
    <cfRule type="expression" dxfId="50" priority="34" stopIfTrue="1">
      <formula>$K$63=""</formula>
    </cfRule>
  </conditionalFormatting>
  <conditionalFormatting sqref="M63">
    <cfRule type="expression" dxfId="49" priority="35" stopIfTrue="1">
      <formula>$AT$63=""</formula>
    </cfRule>
    <cfRule type="expression" dxfId="48" priority="36" stopIfTrue="1">
      <formula>$K$63=""</formula>
    </cfRule>
    <cfRule type="expression" dxfId="47" priority="37" stopIfTrue="1">
      <formula>$K$64=""</formula>
    </cfRule>
  </conditionalFormatting>
  <conditionalFormatting sqref="M64">
    <cfRule type="expression" dxfId="46" priority="38" stopIfTrue="1">
      <formula>$AT$64=""</formula>
    </cfRule>
    <cfRule type="expression" dxfId="45" priority="39" stopIfTrue="1">
      <formula>$K$64=""</formula>
    </cfRule>
    <cfRule type="expression" dxfId="44" priority="40" stopIfTrue="1">
      <formula>$K$65=""</formula>
    </cfRule>
  </conditionalFormatting>
  <conditionalFormatting sqref="M65">
    <cfRule type="expression" dxfId="43" priority="41" stopIfTrue="1">
      <formula>$AT$65=""</formula>
    </cfRule>
    <cfRule type="expression" dxfId="42" priority="42" stopIfTrue="1">
      <formula>$K$65=""</formula>
    </cfRule>
  </conditionalFormatting>
  <conditionalFormatting sqref="K49:L52">
    <cfRule type="expression" dxfId="41" priority="43" stopIfTrue="1">
      <formula>#REF!&lt;&gt;#REF!</formula>
    </cfRule>
  </conditionalFormatting>
  <conditionalFormatting sqref="K62:L65">
    <cfRule type="expression" dxfId="40" priority="44" stopIfTrue="1">
      <formula>#REF!&lt;&gt;#REF!</formula>
    </cfRule>
  </conditionalFormatting>
  <conditionalFormatting sqref="AI11:AM11 AI14:AM14">
    <cfRule type="expression" dxfId="39" priority="45" stopIfTrue="1">
      <formula>AND($U$11=2,ISBLANK($AI$11))</formula>
    </cfRule>
    <cfRule type="expression" dxfId="38" priority="46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 xr:uid="{9D96F54D-D3F2-42A3-A41E-CC5BB69F1153}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 xr:uid="{2AD7D892-001A-4E60-888F-1339E9386606}">
      <formula1>0</formula1>
    </dataValidation>
    <dataValidation type="whole" allowBlank="1" showErrorMessage="1" errorTitle="Zahlen" error="Nur Zahleneingabe möglich" sqref="AZ94 AZ82 AZ86:AZ87 AZ78:AZ79 AZ74 AZ90" xr:uid="{4C343249-76A6-47AB-9C0B-B1E794944E6B}">
      <formula1>0</formula1>
      <formula2>100</formula2>
    </dataValidation>
    <dataValidation type="list" allowBlank="1" showInputMessage="1" showErrorMessage="1" sqref="U11:V15" xr:uid="{1EB0E048-B868-44BF-ADF3-D3F0EE06B7EA}">
      <formula1>$C$27:$C$28</formula1>
    </dataValidation>
  </dataValidations>
  <printOptions horizontalCentered="1" gridLines="1"/>
  <pageMargins left="0.39370078740157483" right="0.39370078740157483" top="0.39370078740157483" bottom="0.39370078740157483" header="0" footer="0"/>
  <pageSetup paperSize="9" scale="66" pageOrder="overThenDown" orientation="portrait" r:id="rId1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13129-EDA0-4652-8B7D-C1FC023E69EC}">
  <sheetPr codeName="Tabelle2"/>
  <dimension ref="A1:DY119"/>
  <sheetViews>
    <sheetView showGridLines="0" showRowColHeaders="0" topLeftCell="A42" zoomScaleNormal="100" zoomScaleSheetLayoutView="100" workbookViewId="0">
      <selection activeCell="AV65" sqref="AV65:BC65"/>
    </sheetView>
  </sheetViews>
  <sheetFormatPr defaultColWidth="0" defaultRowHeight="12.75" zeroHeight="1" x14ac:dyDescent="0.15"/>
  <cols>
    <col min="1" max="67" width="2.15625" style="1" customWidth="1"/>
    <col min="68" max="68" width="2.15625" style="2" customWidth="1"/>
    <col min="69" max="72" width="2.15625" style="2" hidden="1" customWidth="1"/>
    <col min="73" max="73" width="2.15625" style="3" hidden="1" customWidth="1"/>
    <col min="74" max="76" width="2.15625" style="4" hidden="1" customWidth="1"/>
    <col min="77" max="77" width="2.15625" style="3" hidden="1" customWidth="1"/>
    <col min="78" max="82" width="2.15625" style="4" hidden="1" customWidth="1"/>
    <col min="83" max="87" width="2.15625" style="2" hidden="1" customWidth="1"/>
    <col min="88" max="91" width="2.15625" style="5" hidden="1" customWidth="1"/>
    <col min="92" max="16384" width="2.15625" style="1" hidden="1"/>
  </cols>
  <sheetData>
    <row r="1" spans="1:114" ht="7.5" customHeight="1" x14ac:dyDescent="0.15"/>
    <row r="2" spans="1:114" ht="33.75" x14ac:dyDescent="0.15">
      <c r="B2" s="421" t="str">
        <f>Ergebniseingabe!C2</f>
        <v>SBFV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14" s="7" customFormat="1" ht="27" x14ac:dyDescent="0.15">
      <c r="B3" s="437" t="str">
        <f>Ergebniseingabe!C3</f>
        <v>D-Juniorenmeisterschaft 2024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W3" s="382" t="s">
        <v>61</v>
      </c>
      <c r="AX3" s="382"/>
      <c r="AY3" s="382"/>
      <c r="AZ3" s="382"/>
      <c r="BA3" s="382"/>
      <c r="BB3" s="382"/>
      <c r="BC3" s="382"/>
      <c r="BD3" s="382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1:114" s="11" customFormat="1" ht="14.25" x14ac:dyDescent="0.15">
      <c r="B4" s="436">
        <f>Ergebniseingabe!C4</f>
        <v>0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1:114" s="11" customFormat="1" ht="6.4" customHeight="1" x14ac:dyDescent="0.15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1:114" s="17" customFormat="1" ht="13.5" x14ac:dyDescent="0.15">
      <c r="B6" s="422">
        <f>Ergebniseingabe!C6</f>
        <v>45465</v>
      </c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1:114" s="11" customFormat="1" ht="6.4" customHeight="1" x14ac:dyDescent="0.15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1:114" s="22" customFormat="1" ht="13.5" x14ac:dyDescent="0.15">
      <c r="B8" s="435" t="str">
        <f>Ergebniseingabe!C8</f>
        <v>in Bräunlingen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1:114" s="11" customFormat="1" ht="6.4" customHeight="1" x14ac:dyDescent="0.15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3.5" x14ac:dyDescent="0.15">
      <c r="A10" s="381" t="s">
        <v>62</v>
      </c>
      <c r="B10" s="381"/>
      <c r="C10" s="381"/>
      <c r="D10" s="381"/>
      <c r="E10" s="381"/>
      <c r="F10" s="381"/>
      <c r="G10" s="640">
        <f>Ergebniseingabe!H11</f>
        <v>0.4375</v>
      </c>
      <c r="H10" s="640"/>
      <c r="I10" s="640"/>
      <c r="J10" s="640"/>
      <c r="K10" s="17" t="s">
        <v>0</v>
      </c>
      <c r="S10" s="45" t="s">
        <v>1</v>
      </c>
      <c r="T10" s="641">
        <f>Ergebniseingabe!U11</f>
        <v>1</v>
      </c>
      <c r="U10" s="641"/>
      <c r="V10" s="46" t="s">
        <v>2</v>
      </c>
      <c r="W10" s="638">
        <f>Ergebniseingabe!X11</f>
        <v>18</v>
      </c>
      <c r="X10" s="638"/>
      <c r="Y10" s="638"/>
      <c r="Z10" s="638"/>
      <c r="AA10" s="638"/>
      <c r="AB10" s="374" t="str">
        <f>IF(T10=2,"Halbzeit:","")</f>
        <v/>
      </c>
      <c r="AC10" s="374"/>
      <c r="AD10" s="374"/>
      <c r="AE10" s="374"/>
      <c r="AF10" s="374"/>
      <c r="AG10" s="374"/>
      <c r="AH10" s="638" t="str">
        <f>IF(Ergebniseingabe!AI11="","",Ergebniseingabe!AI11)</f>
        <v/>
      </c>
      <c r="AI10" s="638"/>
      <c r="AJ10" s="638"/>
      <c r="AK10" s="638"/>
      <c r="AL10" s="638"/>
      <c r="AM10" s="381" t="s">
        <v>3</v>
      </c>
      <c r="AN10" s="381"/>
      <c r="AO10" s="381"/>
      <c r="AP10" s="381"/>
      <c r="AQ10" s="381"/>
      <c r="AR10" s="381"/>
      <c r="AS10" s="381"/>
      <c r="AT10" s="381"/>
      <c r="AU10" s="381"/>
      <c r="AV10" s="639">
        <f>Ergebniseingabe!AW11</f>
        <v>2</v>
      </c>
      <c r="AW10" s="639"/>
      <c r="AX10" s="639"/>
      <c r="AY10" s="639"/>
      <c r="AZ10" s="639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spans="1:114" ht="9.6" customHeight="1" x14ac:dyDescent="0.15"/>
    <row r="12" spans="1:114" s="11" customFormat="1" ht="14.25" x14ac:dyDescent="0.1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1:114" s="11" customFormat="1" ht="10.15" customHeight="1" thickBot="1" x14ac:dyDescent="0.2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1:114" s="11" customFormat="1" ht="15" thickBot="1" x14ac:dyDescent="0.2">
      <c r="C14" s="455" t="str">
        <f>Ergebniseingabe!D18</f>
        <v>Gruppe A</v>
      </c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7"/>
      <c r="AB14" s="452" t="str">
        <f>Ergebniseingabe!AC18</f>
        <v>Gruppe B</v>
      </c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1:114" s="11" customFormat="1" ht="14.25" x14ac:dyDescent="0.15">
      <c r="B15" s="60">
        <v>1</v>
      </c>
      <c r="C15" s="441" t="str">
        <f>Ergebniseingabe!D19</f>
        <v>SSC Donaueschingen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3"/>
      <c r="AA15" s="60">
        <v>1</v>
      </c>
      <c r="AB15" s="441" t="str">
        <f>Ergebniseingabe!AC19</f>
        <v>FC 08 Villingen</v>
      </c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3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1:114" s="11" customFormat="1" ht="14.25" x14ac:dyDescent="0.15">
      <c r="B16" s="60">
        <v>2</v>
      </c>
      <c r="C16" s="438" t="str">
        <f>Ergebniseingabe!D20</f>
        <v>FC Pfaffenweiler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  <c r="AA16" s="60">
        <v>2</v>
      </c>
      <c r="AB16" s="438" t="str">
        <f>Ergebniseingabe!AC20</f>
        <v>SF Eintracht Freiburg</v>
      </c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40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129" s="11" customFormat="1" ht="14.25" x14ac:dyDescent="0.15">
      <c r="B17" s="60">
        <v>3</v>
      </c>
      <c r="C17" s="438" t="str">
        <f>Ergebniseingabe!D21</f>
        <v>Offenburger FV</v>
      </c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  <c r="AA17" s="60">
        <v>3</v>
      </c>
      <c r="AB17" s="438" t="str">
        <f>Ergebniseingabe!AC21</f>
        <v>SV 08 Kuppenheim</v>
      </c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40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129" s="11" customFormat="1" ht="15" thickBot="1" x14ac:dyDescent="0.2">
      <c r="B18" s="60">
        <v>4</v>
      </c>
      <c r="C18" s="444" t="str">
        <f>Ergebniseingabe!D22</f>
        <v>FV Lörrach-Brombach</v>
      </c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6"/>
      <c r="AA18" s="60">
        <v>4</v>
      </c>
      <c r="AB18" s="444" t="str">
        <f>Ergebniseingabe!AC22</f>
        <v>SC Pfullendorf</v>
      </c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6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2:129" s="11" customFormat="1" ht="14.25" x14ac:dyDescent="0.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129" s="11" customFormat="1" ht="14.25" x14ac:dyDescent="0.1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2:129" s="11" customFormat="1" ht="10.15" customHeight="1" thickBot="1" x14ac:dyDescent="0.2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29" s="11" customFormat="1" ht="16.899999999999999" customHeight="1" thickBot="1" x14ac:dyDescent="0.2">
      <c r="B22" s="425" t="s">
        <v>9</v>
      </c>
      <c r="C22" s="426"/>
      <c r="D22" s="427" t="s">
        <v>10</v>
      </c>
      <c r="E22" s="428"/>
      <c r="F22" s="429"/>
      <c r="G22" s="427" t="s">
        <v>63</v>
      </c>
      <c r="H22" s="428"/>
      <c r="I22" s="428"/>
      <c r="J22" s="429"/>
      <c r="K22" s="427" t="s">
        <v>11</v>
      </c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9"/>
      <c r="BB22" s="427" t="s">
        <v>12</v>
      </c>
      <c r="BC22" s="428"/>
      <c r="BD22" s="428"/>
      <c r="BE22" s="428"/>
      <c r="BF22" s="428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29" s="66" customFormat="1" ht="20.25" customHeight="1" x14ac:dyDescent="0.15">
      <c r="B23" s="433">
        <v>1</v>
      </c>
      <c r="C23" s="434"/>
      <c r="D23" s="434" t="str">
        <f>Ergebniseingabe!E27</f>
        <v>A</v>
      </c>
      <c r="E23" s="434"/>
      <c r="F23" s="434"/>
      <c r="G23" s="502">
        <f>Ergebniseingabe!H27</f>
        <v>0.4375</v>
      </c>
      <c r="H23" s="503"/>
      <c r="I23" s="503"/>
      <c r="J23" s="504"/>
      <c r="K23" s="432" t="str">
        <f>Ergebniseingabe!L27</f>
        <v>SSC Donaueschingen</v>
      </c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67" t="s">
        <v>14</v>
      </c>
      <c r="AG23" s="423" t="str">
        <f>Ergebniseingabe!AH27</f>
        <v>FC Pfaffenweiler</v>
      </c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4"/>
      <c r="BB23" s="476">
        <f>IF(Ergebniseingabe!BC27="","",Ergebniseingabe!BC27)</f>
        <v>0</v>
      </c>
      <c r="BC23" s="477"/>
      <c r="BD23" s="477"/>
      <c r="BE23" s="482">
        <f>IF(Ergebniseingabe!BF27="","",Ergebniseingabe!BF27)</f>
        <v>0</v>
      </c>
      <c r="BF23" s="483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29" s="11" customFormat="1" ht="20.25" customHeight="1" thickBot="1" x14ac:dyDescent="0.2">
      <c r="B24" s="430">
        <v>2</v>
      </c>
      <c r="C24" s="431"/>
      <c r="D24" s="431" t="str">
        <f>Ergebniseingabe!E28</f>
        <v>A</v>
      </c>
      <c r="E24" s="431"/>
      <c r="F24" s="431"/>
      <c r="G24" s="470">
        <f>Ergebniseingabe!H28</f>
        <v>0.4513888888888889</v>
      </c>
      <c r="H24" s="471"/>
      <c r="I24" s="471"/>
      <c r="J24" s="472"/>
      <c r="K24" s="466" t="str">
        <f>Ergebniseingabe!L28</f>
        <v>Offenburger FV</v>
      </c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77" t="s">
        <v>14</v>
      </c>
      <c r="AG24" s="467" t="str">
        <f>Ergebniseingabe!AH28</f>
        <v>FV Lörrach-Brombach</v>
      </c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97"/>
      <c r="BB24" s="478">
        <f>IF(Ergebniseingabe!BC28="","",Ergebniseingabe!BC28)</f>
        <v>3</v>
      </c>
      <c r="BC24" s="479"/>
      <c r="BD24" s="479"/>
      <c r="BE24" s="487">
        <f>IF(Ergebniseingabe!BF28="","",Ergebniseingabe!BF28)</f>
        <v>0</v>
      </c>
      <c r="BF24" s="488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29" s="11" customFormat="1" ht="20.25" customHeight="1" x14ac:dyDescent="0.15">
      <c r="B25" s="464">
        <v>3</v>
      </c>
      <c r="C25" s="465"/>
      <c r="D25" s="465" t="str">
        <f>Ergebniseingabe!E29</f>
        <v>B</v>
      </c>
      <c r="E25" s="465"/>
      <c r="F25" s="465"/>
      <c r="G25" s="473">
        <f>Ergebniseingabe!H29</f>
        <v>0.46527777777777779</v>
      </c>
      <c r="H25" s="474"/>
      <c r="I25" s="474"/>
      <c r="J25" s="475"/>
      <c r="K25" s="468" t="str">
        <f>Ergebniseingabe!L29</f>
        <v>FC 08 Villingen</v>
      </c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192" t="s">
        <v>14</v>
      </c>
      <c r="AG25" s="469" t="str">
        <f>Ergebniseingabe!AH29</f>
        <v>SF Eintracht Freiburg</v>
      </c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98"/>
      <c r="BB25" s="495">
        <f>IF(Ergebniseingabe!BC29="","",Ergebniseingabe!BC29)</f>
        <v>3</v>
      </c>
      <c r="BC25" s="496"/>
      <c r="BD25" s="496"/>
      <c r="BE25" s="480">
        <f>IF(Ergebniseingabe!BF29="","",Ergebniseingabe!BF29)</f>
        <v>0</v>
      </c>
      <c r="BF25" s="481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29" s="11" customFormat="1" ht="20.25" customHeight="1" thickBot="1" x14ac:dyDescent="0.2">
      <c r="B26" s="430">
        <v>4</v>
      </c>
      <c r="C26" s="431"/>
      <c r="D26" s="431" t="str">
        <f>Ergebniseingabe!E30</f>
        <v>B</v>
      </c>
      <c r="E26" s="431"/>
      <c r="F26" s="431"/>
      <c r="G26" s="470">
        <f>Ergebniseingabe!H30</f>
        <v>0.47916666666666669</v>
      </c>
      <c r="H26" s="471"/>
      <c r="I26" s="471"/>
      <c r="J26" s="472"/>
      <c r="K26" s="466" t="str">
        <f>Ergebniseingabe!L30</f>
        <v>SV 08 Kuppenheim</v>
      </c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77" t="s">
        <v>14</v>
      </c>
      <c r="AG26" s="467" t="str">
        <f>Ergebniseingabe!AH30</f>
        <v>SC Pfullendorf</v>
      </c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97"/>
      <c r="BB26" s="478">
        <f>IF(Ergebniseingabe!BC30="","",Ergebniseingabe!BC30)</f>
        <v>0</v>
      </c>
      <c r="BC26" s="479"/>
      <c r="BD26" s="479"/>
      <c r="BE26" s="487">
        <f>IF(Ergebniseingabe!BF30="","",Ergebniseingabe!BF30)</f>
        <v>1</v>
      </c>
      <c r="BF26" s="488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29" s="11" customFormat="1" ht="20.25" customHeight="1" x14ac:dyDescent="0.15">
      <c r="B27" s="464">
        <v>5</v>
      </c>
      <c r="C27" s="465"/>
      <c r="D27" s="465" t="str">
        <f>Ergebniseingabe!E31</f>
        <v>A</v>
      </c>
      <c r="E27" s="465"/>
      <c r="F27" s="465"/>
      <c r="G27" s="473">
        <f>Ergebniseingabe!H31</f>
        <v>0.49305555555555558</v>
      </c>
      <c r="H27" s="474"/>
      <c r="I27" s="474"/>
      <c r="J27" s="475"/>
      <c r="K27" s="468" t="str">
        <f>Ergebniseingabe!L31</f>
        <v>SSC Donaueschingen</v>
      </c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192" t="s">
        <v>14</v>
      </c>
      <c r="AG27" s="469" t="str">
        <f>Ergebniseingabe!AH31</f>
        <v>Offenburger FV</v>
      </c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98"/>
      <c r="BB27" s="495">
        <f>IF(Ergebniseingabe!BC31="","",Ergebniseingabe!BC31)</f>
        <v>0</v>
      </c>
      <c r="BC27" s="496"/>
      <c r="BD27" s="496"/>
      <c r="BE27" s="480">
        <f>IF(Ergebniseingabe!BF31="","",Ergebniseingabe!BF31)</f>
        <v>0</v>
      </c>
      <c r="BF27" s="481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 x14ac:dyDescent="0.2">
      <c r="B28" s="430">
        <v>6</v>
      </c>
      <c r="C28" s="431"/>
      <c r="D28" s="431" t="str">
        <f>Ergebniseingabe!E32</f>
        <v>A</v>
      </c>
      <c r="E28" s="431"/>
      <c r="F28" s="431"/>
      <c r="G28" s="470">
        <f>Ergebniseingabe!H32</f>
        <v>0.50694444444444442</v>
      </c>
      <c r="H28" s="471"/>
      <c r="I28" s="471"/>
      <c r="J28" s="472"/>
      <c r="K28" s="466" t="str">
        <f>Ergebniseingabe!L32</f>
        <v>FC Pfaffenweiler</v>
      </c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77" t="s">
        <v>14</v>
      </c>
      <c r="AG28" s="467" t="str">
        <f>Ergebniseingabe!AH32</f>
        <v>FV Lörrach-Brombach</v>
      </c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97"/>
      <c r="BB28" s="478">
        <f>IF(Ergebniseingabe!BC32="","",Ergebniseingabe!BC32)</f>
        <v>0</v>
      </c>
      <c r="BC28" s="479"/>
      <c r="BD28" s="479"/>
      <c r="BE28" s="487">
        <f>IF(Ergebniseingabe!BF32="","",Ergebniseingabe!BF32)</f>
        <v>1</v>
      </c>
      <c r="BF28" s="488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29" s="11" customFormat="1" ht="20.25" customHeight="1" x14ac:dyDescent="0.15">
      <c r="B29" s="464">
        <v>7</v>
      </c>
      <c r="C29" s="465"/>
      <c r="D29" s="465" t="str">
        <f>Ergebniseingabe!E33</f>
        <v>B</v>
      </c>
      <c r="E29" s="465"/>
      <c r="F29" s="465"/>
      <c r="G29" s="473">
        <f>Ergebniseingabe!H33</f>
        <v>0.52083333333333326</v>
      </c>
      <c r="H29" s="474"/>
      <c r="I29" s="474"/>
      <c r="J29" s="475"/>
      <c r="K29" s="468" t="str">
        <f>Ergebniseingabe!L33</f>
        <v>FC 08 Villingen</v>
      </c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192" t="s">
        <v>14</v>
      </c>
      <c r="AG29" s="469" t="str">
        <f>Ergebniseingabe!AH33</f>
        <v>SV 08 Kuppenheim</v>
      </c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98"/>
      <c r="BB29" s="495">
        <f>IF(Ergebniseingabe!BC33="","",Ergebniseingabe!BC33)</f>
        <v>1</v>
      </c>
      <c r="BC29" s="496"/>
      <c r="BD29" s="496"/>
      <c r="BE29" s="480">
        <f>IF(Ergebniseingabe!BF33="","",Ergebniseingabe!BF33)</f>
        <v>0</v>
      </c>
      <c r="BF29" s="481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 x14ac:dyDescent="0.2">
      <c r="B30" s="430">
        <v>8</v>
      </c>
      <c r="C30" s="431"/>
      <c r="D30" s="431" t="str">
        <f>Ergebniseingabe!E34</f>
        <v>B</v>
      </c>
      <c r="E30" s="431"/>
      <c r="F30" s="431"/>
      <c r="G30" s="470">
        <f>Ergebniseingabe!H34</f>
        <v>0.5347222222222221</v>
      </c>
      <c r="H30" s="471"/>
      <c r="I30" s="471"/>
      <c r="J30" s="472"/>
      <c r="K30" s="466" t="str">
        <f>Ergebniseingabe!L34</f>
        <v>SF Eintracht Freiburg</v>
      </c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77" t="s">
        <v>14</v>
      </c>
      <c r="AG30" s="467" t="str">
        <f>Ergebniseingabe!AH34</f>
        <v>SC Pfullendorf</v>
      </c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97"/>
      <c r="BB30" s="478">
        <f>IF(Ergebniseingabe!BC34="","",Ergebniseingabe!BC34)</f>
        <v>0</v>
      </c>
      <c r="BC30" s="479"/>
      <c r="BD30" s="479"/>
      <c r="BE30" s="487">
        <f>IF(Ergebniseingabe!BF34="","",Ergebniseingabe!BF34)</f>
        <v>1</v>
      </c>
      <c r="BF30" s="488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 x14ac:dyDescent="0.15">
      <c r="B31" s="464">
        <v>9</v>
      </c>
      <c r="C31" s="465"/>
      <c r="D31" s="465" t="str">
        <f>Ergebniseingabe!E35</f>
        <v>A</v>
      </c>
      <c r="E31" s="465"/>
      <c r="F31" s="465"/>
      <c r="G31" s="473">
        <f>Ergebniseingabe!H35</f>
        <v>0.54861111111111094</v>
      </c>
      <c r="H31" s="474"/>
      <c r="I31" s="474"/>
      <c r="J31" s="475"/>
      <c r="K31" s="468" t="str">
        <f>Ergebniseingabe!L35</f>
        <v>FV Lörrach-Brombach</v>
      </c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192" t="s">
        <v>14</v>
      </c>
      <c r="AG31" s="469" t="str">
        <f>Ergebniseingabe!AH35</f>
        <v>SSC Donaueschingen</v>
      </c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98"/>
      <c r="BB31" s="495">
        <f>IF(Ergebniseingabe!BC35="","",Ergebniseingabe!BC35)</f>
        <v>1</v>
      </c>
      <c r="BC31" s="496"/>
      <c r="BD31" s="496"/>
      <c r="BE31" s="480">
        <f>IF(Ergebniseingabe!BF35="","",Ergebniseingabe!BF35)</f>
        <v>0</v>
      </c>
      <c r="BF31" s="481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29" s="11" customFormat="1" ht="20.25" customHeight="1" thickBot="1" x14ac:dyDescent="0.2">
      <c r="B32" s="430">
        <v>10</v>
      </c>
      <c r="C32" s="431"/>
      <c r="D32" s="431" t="str">
        <f>Ergebniseingabe!E36</f>
        <v>A</v>
      </c>
      <c r="E32" s="431"/>
      <c r="F32" s="431"/>
      <c r="G32" s="470">
        <f>Ergebniseingabe!H36</f>
        <v>0.56249999999999978</v>
      </c>
      <c r="H32" s="471"/>
      <c r="I32" s="471"/>
      <c r="J32" s="472"/>
      <c r="K32" s="466" t="str">
        <f>Ergebniseingabe!L36</f>
        <v>Offenburger FV</v>
      </c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77" t="s">
        <v>14</v>
      </c>
      <c r="AG32" s="467" t="str">
        <f>Ergebniseingabe!AH36</f>
        <v>FC Pfaffenweiler</v>
      </c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97"/>
      <c r="BB32" s="478">
        <f>IF(Ergebniseingabe!BC36="","",Ergebniseingabe!BC36)</f>
        <v>1</v>
      </c>
      <c r="BC32" s="479"/>
      <c r="BD32" s="479"/>
      <c r="BE32" s="487">
        <f>IF(Ergebniseingabe!BF36="","",Ergebniseingabe!BF36)</f>
        <v>1</v>
      </c>
      <c r="BF32" s="488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 x14ac:dyDescent="0.15">
      <c r="B33" s="464">
        <v>11</v>
      </c>
      <c r="C33" s="465"/>
      <c r="D33" s="465" t="str">
        <f>Ergebniseingabe!E37</f>
        <v>B</v>
      </c>
      <c r="E33" s="465"/>
      <c r="F33" s="465"/>
      <c r="G33" s="473">
        <f>Ergebniseingabe!H37</f>
        <v>0.57638888888888862</v>
      </c>
      <c r="H33" s="474"/>
      <c r="I33" s="474"/>
      <c r="J33" s="475"/>
      <c r="K33" s="468" t="str">
        <f>Ergebniseingabe!L37</f>
        <v>SC Pfullendorf</v>
      </c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192" t="s">
        <v>14</v>
      </c>
      <c r="AG33" s="469" t="str">
        <f>Ergebniseingabe!AH37</f>
        <v>FC 08 Villingen</v>
      </c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98"/>
      <c r="BB33" s="495">
        <f>IF(Ergebniseingabe!BC37="","",Ergebniseingabe!BC37)</f>
        <v>0</v>
      </c>
      <c r="BC33" s="496"/>
      <c r="BD33" s="496"/>
      <c r="BE33" s="480">
        <f>IF(Ergebniseingabe!BF37="","",Ergebniseingabe!BF37)</f>
        <v>0</v>
      </c>
      <c r="BF33" s="481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29" s="11" customFormat="1" ht="20.25" customHeight="1" thickBot="1" x14ac:dyDescent="0.2">
      <c r="B34" s="430">
        <v>12</v>
      </c>
      <c r="C34" s="431"/>
      <c r="D34" s="431" t="str">
        <f>Ergebniseingabe!E38</f>
        <v>B</v>
      </c>
      <c r="E34" s="431"/>
      <c r="F34" s="431"/>
      <c r="G34" s="470">
        <f>Ergebniseingabe!H38</f>
        <v>0.59027777777777746</v>
      </c>
      <c r="H34" s="471"/>
      <c r="I34" s="471"/>
      <c r="J34" s="472"/>
      <c r="K34" s="466" t="str">
        <f>Ergebniseingabe!L38</f>
        <v>SV 08 Kuppenheim</v>
      </c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77" t="s">
        <v>14</v>
      </c>
      <c r="AG34" s="467" t="str">
        <f>Ergebniseingabe!AH38</f>
        <v>SF Eintracht Freiburg</v>
      </c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97"/>
      <c r="BB34" s="478">
        <f>IF(Ergebniseingabe!BC38="","",Ergebniseingabe!BC38)</f>
        <v>2</v>
      </c>
      <c r="BC34" s="479"/>
      <c r="BD34" s="479"/>
      <c r="BE34" s="487">
        <f>IF(Ergebniseingabe!BF38="","",Ergebniseingabe!BF38)</f>
        <v>3</v>
      </c>
      <c r="BF34" s="488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2:129" s="11" customFormat="1" ht="18" customHeight="1" x14ac:dyDescent="0.15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2:129" s="11" customFormat="1" ht="18" customHeight="1" thickBot="1" x14ac:dyDescent="0.2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129" s="11" customFormat="1" ht="18" customHeight="1" x14ac:dyDescent="0.15">
      <c r="B37" s="78"/>
      <c r="C37" s="78"/>
      <c r="D37" s="78"/>
      <c r="E37" s="78"/>
      <c r="F37" s="78"/>
      <c r="G37" s="78"/>
      <c r="H37" s="78"/>
      <c r="J37" s="59"/>
      <c r="AG37" s="517" t="str">
        <f>L45</f>
        <v>FV Lörrach-Brombach</v>
      </c>
      <c r="AH37" s="506"/>
      <c r="AI37" s="518"/>
      <c r="AJ37" s="505" t="str">
        <f>L46</f>
        <v>Offenburger FV</v>
      </c>
      <c r="AK37" s="506"/>
      <c r="AL37" s="518"/>
      <c r="AM37" s="505" t="str">
        <f>L47</f>
        <v>FC Pfaffenweiler</v>
      </c>
      <c r="AN37" s="506"/>
      <c r="AO37" s="518"/>
      <c r="AP37" s="505" t="str">
        <f>L48</f>
        <v>SSC Donaueschingen</v>
      </c>
      <c r="AQ37" s="506"/>
      <c r="AR37" s="507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129" s="11" customFormat="1" ht="18" customHeight="1" x14ac:dyDescent="0.15">
      <c r="B38" s="78"/>
      <c r="C38" s="78"/>
      <c r="D38" s="78"/>
      <c r="E38" s="78"/>
      <c r="F38" s="78"/>
      <c r="G38" s="78"/>
      <c r="H38" s="78"/>
      <c r="J38" s="59"/>
      <c r="AG38" s="519"/>
      <c r="AH38" s="509"/>
      <c r="AI38" s="520"/>
      <c r="AJ38" s="508"/>
      <c r="AK38" s="509"/>
      <c r="AL38" s="520"/>
      <c r="AM38" s="508"/>
      <c r="AN38" s="509"/>
      <c r="AO38" s="520"/>
      <c r="AP38" s="508"/>
      <c r="AQ38" s="509"/>
      <c r="AR38" s="510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129" s="11" customFormat="1" ht="18" customHeight="1" x14ac:dyDescent="0.15">
      <c r="B39" s="78"/>
      <c r="C39" s="78"/>
      <c r="D39" s="78"/>
      <c r="E39" s="78"/>
      <c r="F39" s="78"/>
      <c r="G39" s="78"/>
      <c r="H39" s="78"/>
      <c r="J39" s="59"/>
      <c r="AG39" s="519"/>
      <c r="AH39" s="509"/>
      <c r="AI39" s="520"/>
      <c r="AJ39" s="508"/>
      <c r="AK39" s="509"/>
      <c r="AL39" s="520"/>
      <c r="AM39" s="508"/>
      <c r="AN39" s="509"/>
      <c r="AO39" s="520"/>
      <c r="AP39" s="508"/>
      <c r="AQ39" s="509"/>
      <c r="AR39" s="510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129" s="11" customFormat="1" ht="18" customHeight="1" x14ac:dyDescent="0.15">
      <c r="B40" s="78"/>
      <c r="C40" s="78"/>
      <c r="D40" s="78"/>
      <c r="E40" s="78"/>
      <c r="F40" s="78"/>
      <c r="G40" s="78"/>
      <c r="H40" s="78"/>
      <c r="J40" s="59"/>
      <c r="AG40" s="519"/>
      <c r="AH40" s="509"/>
      <c r="AI40" s="520"/>
      <c r="AJ40" s="508"/>
      <c r="AK40" s="509"/>
      <c r="AL40" s="520"/>
      <c r="AM40" s="508"/>
      <c r="AN40" s="509"/>
      <c r="AO40" s="520"/>
      <c r="AP40" s="508"/>
      <c r="AQ40" s="509"/>
      <c r="AR40" s="510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129" s="11" customFormat="1" ht="18" customHeight="1" x14ac:dyDescent="0.15">
      <c r="B41" s="78"/>
      <c r="C41" s="78"/>
      <c r="D41" s="78"/>
      <c r="E41" s="78"/>
      <c r="F41" s="78"/>
      <c r="G41" s="78"/>
      <c r="H41" s="78"/>
      <c r="J41" s="59"/>
      <c r="AG41" s="519"/>
      <c r="AH41" s="509"/>
      <c r="AI41" s="520"/>
      <c r="AJ41" s="508"/>
      <c r="AK41" s="509"/>
      <c r="AL41" s="520"/>
      <c r="AM41" s="508"/>
      <c r="AN41" s="509"/>
      <c r="AO41" s="520"/>
      <c r="AP41" s="508"/>
      <c r="AQ41" s="509"/>
      <c r="AR41" s="510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129" s="11" customFormat="1" ht="18" customHeight="1" x14ac:dyDescent="0.15">
      <c r="B42" s="78"/>
      <c r="C42" s="78"/>
      <c r="D42" s="78"/>
      <c r="E42" s="78"/>
      <c r="F42" s="78"/>
      <c r="G42" s="78"/>
      <c r="H42" s="78"/>
      <c r="J42" s="59"/>
      <c r="AG42" s="519"/>
      <c r="AH42" s="509"/>
      <c r="AI42" s="520"/>
      <c r="AJ42" s="508"/>
      <c r="AK42" s="509"/>
      <c r="AL42" s="520"/>
      <c r="AM42" s="508"/>
      <c r="AN42" s="509"/>
      <c r="AO42" s="520"/>
      <c r="AP42" s="508"/>
      <c r="AQ42" s="509"/>
      <c r="AR42" s="510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129" s="11" customFormat="1" ht="18" customHeight="1" thickBot="1" x14ac:dyDescent="0.2">
      <c r="B43" s="594" t="s">
        <v>16</v>
      </c>
      <c r="C43" s="595"/>
      <c r="D43" s="595"/>
      <c r="E43" s="595"/>
      <c r="F43" s="595"/>
      <c r="G43" s="595"/>
      <c r="H43" s="596"/>
      <c r="AG43" s="519"/>
      <c r="AH43" s="509"/>
      <c r="AI43" s="520"/>
      <c r="AJ43" s="508"/>
      <c r="AK43" s="509"/>
      <c r="AL43" s="520"/>
      <c r="AM43" s="508"/>
      <c r="AN43" s="509"/>
      <c r="AO43" s="520"/>
      <c r="AP43" s="508"/>
      <c r="AQ43" s="509"/>
      <c r="AR43" s="510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29" s="11" customFormat="1" ht="18" customHeight="1" thickBot="1" x14ac:dyDescent="0.2">
      <c r="B44" s="591" t="s">
        <v>17</v>
      </c>
      <c r="C44" s="592"/>
      <c r="D44" s="592"/>
      <c r="E44" s="593"/>
      <c r="F44" s="591" t="s">
        <v>18</v>
      </c>
      <c r="G44" s="592"/>
      <c r="H44" s="593"/>
      <c r="J44" s="632" t="str">
        <f>Ergebniseingabe!K48</f>
        <v>Gruppe A</v>
      </c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550"/>
      <c r="AG44" s="521"/>
      <c r="AH44" s="512"/>
      <c r="AI44" s="522"/>
      <c r="AJ44" s="511"/>
      <c r="AK44" s="512"/>
      <c r="AL44" s="522"/>
      <c r="AM44" s="511"/>
      <c r="AN44" s="512"/>
      <c r="AO44" s="522"/>
      <c r="AP44" s="511"/>
      <c r="AQ44" s="512"/>
      <c r="AR44" s="513"/>
      <c r="AS44" s="490" t="s">
        <v>19</v>
      </c>
      <c r="AT44" s="490"/>
      <c r="AU44" s="491"/>
      <c r="AV44" s="489" t="s">
        <v>20</v>
      </c>
      <c r="AW44" s="490"/>
      <c r="AX44" s="491"/>
      <c r="AY44" s="489" t="s">
        <v>21</v>
      </c>
      <c r="AZ44" s="490"/>
      <c r="BA44" s="491"/>
      <c r="BB44" s="489" t="s">
        <v>22</v>
      </c>
      <c r="BC44" s="490"/>
      <c r="BD44" s="491"/>
      <c r="BE44" s="551" t="s">
        <v>23</v>
      </c>
      <c r="BF44" s="551"/>
      <c r="BG44" s="551"/>
      <c r="BH44" s="551"/>
      <c r="BI44" s="551"/>
      <c r="BJ44" s="551" t="s">
        <v>24</v>
      </c>
      <c r="BK44" s="551"/>
      <c r="BL44" s="489"/>
      <c r="BM44" s="489" t="s">
        <v>25</v>
      </c>
      <c r="BN44" s="490"/>
      <c r="BO44" s="550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29" s="11" customFormat="1" ht="20.25" customHeight="1" x14ac:dyDescent="0.15">
      <c r="B45" s="590" t="str">
        <f>IF(Ergebniseingabe!C49="","",Ergebniseingabe!C49)</f>
        <v/>
      </c>
      <c r="C45" s="590"/>
      <c r="D45" s="590"/>
      <c r="E45" s="590"/>
      <c r="F45" s="590" t="str">
        <f>IF(Ergebniseingabe!G49="","",Ergebniseingabe!G49)</f>
        <v/>
      </c>
      <c r="G45" s="590"/>
      <c r="H45" s="590"/>
      <c r="J45" s="597">
        <f>Ergebniseingabe!K49</f>
        <v>1</v>
      </c>
      <c r="K45" s="598"/>
      <c r="L45" s="514" t="str">
        <f>Ergebniseingabe!M49</f>
        <v>FV Lörrach-Brombach</v>
      </c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29"/>
      <c r="AH45" s="529"/>
      <c r="AI45" s="530"/>
      <c r="AJ45" s="526" t="str">
        <f>Ergebniseingabe!AK49</f>
        <v>0:3</v>
      </c>
      <c r="AK45" s="527"/>
      <c r="AL45" s="528"/>
      <c r="AM45" s="526" t="str">
        <f>Ergebniseingabe!AN49</f>
        <v>1:0</v>
      </c>
      <c r="AN45" s="527"/>
      <c r="AO45" s="528"/>
      <c r="AP45" s="525" t="str">
        <f>Ergebniseingabe!AQ49</f>
        <v>1:0</v>
      </c>
      <c r="AQ45" s="492"/>
      <c r="AR45" s="492"/>
      <c r="AS45" s="492">
        <f>Ergebniseingabe!AT49</f>
        <v>3</v>
      </c>
      <c r="AT45" s="492"/>
      <c r="AU45" s="493"/>
      <c r="AV45" s="494">
        <f>Ergebniseingabe!AW49</f>
        <v>2</v>
      </c>
      <c r="AW45" s="494"/>
      <c r="AX45" s="494"/>
      <c r="AY45" s="494">
        <f>Ergebniseingabe!AZ49</f>
        <v>0</v>
      </c>
      <c r="AZ45" s="494"/>
      <c r="BA45" s="494"/>
      <c r="BB45" s="494">
        <f>Ergebniseingabe!BC49</f>
        <v>1</v>
      </c>
      <c r="BC45" s="494"/>
      <c r="BD45" s="494"/>
      <c r="BE45" s="527">
        <f>Ergebniseingabe!BF49</f>
        <v>2</v>
      </c>
      <c r="BF45" s="527"/>
      <c r="BG45" s="79" t="str">
        <f>Ergebniseingabe!BH49</f>
        <v>:</v>
      </c>
      <c r="BH45" s="528">
        <f>Ergebniseingabe!BI49</f>
        <v>3</v>
      </c>
      <c r="BI45" s="494"/>
      <c r="BJ45" s="543">
        <f>Ergebniseingabe!BK49</f>
        <v>-1</v>
      </c>
      <c r="BK45" s="543"/>
      <c r="BL45" s="544"/>
      <c r="BM45" s="494">
        <f>Ergebniseingabe!BN49</f>
        <v>6</v>
      </c>
      <c r="BN45" s="494"/>
      <c r="BO45" s="525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29" s="11" customFormat="1" ht="20.25" customHeight="1" x14ac:dyDescent="0.15">
      <c r="B46" s="590" t="str">
        <f>IF(Ergebniseingabe!C50="","",Ergebniseingabe!C50)</f>
        <v/>
      </c>
      <c r="C46" s="590"/>
      <c r="D46" s="590"/>
      <c r="E46" s="590"/>
      <c r="F46" s="590" t="str">
        <f>IF(Ergebniseingabe!G50="","",Ergebniseingabe!G50)</f>
        <v/>
      </c>
      <c r="G46" s="590"/>
      <c r="H46" s="590"/>
      <c r="J46" s="566">
        <f>Ergebniseingabe!K50</f>
        <v>2</v>
      </c>
      <c r="K46" s="567"/>
      <c r="L46" s="571" t="str">
        <f>Ergebniseingabe!M50</f>
        <v>Offenburger FV</v>
      </c>
      <c r="M46" s="572"/>
      <c r="N46" s="572"/>
      <c r="O46" s="572"/>
      <c r="P46" s="572"/>
      <c r="Q46" s="572"/>
      <c r="R46" s="572"/>
      <c r="S46" s="572"/>
      <c r="T46" s="572"/>
      <c r="U46" s="572"/>
      <c r="V46" s="572"/>
      <c r="W46" s="572"/>
      <c r="X46" s="572"/>
      <c r="Y46" s="572"/>
      <c r="Z46" s="572"/>
      <c r="AA46" s="572"/>
      <c r="AB46" s="572"/>
      <c r="AC46" s="572"/>
      <c r="AD46" s="572"/>
      <c r="AE46" s="572"/>
      <c r="AF46" s="572"/>
      <c r="AG46" s="524" t="str">
        <f>Ergebniseingabe!AH50</f>
        <v>3:0</v>
      </c>
      <c r="AH46" s="524"/>
      <c r="AI46" s="531"/>
      <c r="AJ46" s="575"/>
      <c r="AK46" s="576"/>
      <c r="AL46" s="577"/>
      <c r="AM46" s="540" t="str">
        <f>Ergebniseingabe!AN50</f>
        <v>1:1</v>
      </c>
      <c r="AN46" s="541"/>
      <c r="AO46" s="547"/>
      <c r="AP46" s="523" t="str">
        <f>Ergebniseingabe!AQ50</f>
        <v>0:0</v>
      </c>
      <c r="AQ46" s="524"/>
      <c r="AR46" s="524"/>
      <c r="AS46" s="524">
        <f>Ergebniseingabe!AT50</f>
        <v>3</v>
      </c>
      <c r="AT46" s="524"/>
      <c r="AU46" s="531"/>
      <c r="AV46" s="516">
        <f>Ergebniseingabe!AW50</f>
        <v>1</v>
      </c>
      <c r="AW46" s="516"/>
      <c r="AX46" s="516"/>
      <c r="AY46" s="516">
        <f>Ergebniseingabe!AZ50</f>
        <v>2</v>
      </c>
      <c r="AZ46" s="516"/>
      <c r="BA46" s="516"/>
      <c r="BB46" s="516">
        <f>Ergebniseingabe!BC50</f>
        <v>0</v>
      </c>
      <c r="BC46" s="516"/>
      <c r="BD46" s="516"/>
      <c r="BE46" s="541">
        <f>Ergebniseingabe!BF50</f>
        <v>4</v>
      </c>
      <c r="BF46" s="541"/>
      <c r="BG46" s="80" t="str">
        <f>Ergebniseingabe!BH50</f>
        <v>:</v>
      </c>
      <c r="BH46" s="547">
        <f>Ergebniseingabe!BI50</f>
        <v>1</v>
      </c>
      <c r="BI46" s="516"/>
      <c r="BJ46" s="536">
        <f>Ergebniseingabe!BK50</f>
        <v>3</v>
      </c>
      <c r="BK46" s="536"/>
      <c r="BL46" s="537"/>
      <c r="BM46" s="516">
        <f>Ergebniseingabe!BN50</f>
        <v>5</v>
      </c>
      <c r="BN46" s="516"/>
      <c r="BO46" s="523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29" s="11" customFormat="1" ht="20.25" customHeight="1" x14ac:dyDescent="0.15">
      <c r="B47" s="590" t="str">
        <f>IF(Ergebniseingabe!C51="","",Ergebniseingabe!C51)</f>
        <v/>
      </c>
      <c r="C47" s="590"/>
      <c r="D47" s="590"/>
      <c r="E47" s="590"/>
      <c r="F47" s="590" t="str">
        <f>IF(Ergebniseingabe!G51="","",Ergebniseingabe!G51)</f>
        <v/>
      </c>
      <c r="G47" s="590"/>
      <c r="H47" s="590"/>
      <c r="J47" s="566">
        <f>Ergebniseingabe!K51</f>
        <v>3</v>
      </c>
      <c r="K47" s="567"/>
      <c r="L47" s="571" t="str">
        <f>Ergebniseingabe!M51</f>
        <v>FC Pfaffenweiler</v>
      </c>
      <c r="M47" s="572"/>
      <c r="N47" s="572"/>
      <c r="O47" s="572"/>
      <c r="P47" s="572"/>
      <c r="Q47" s="572"/>
      <c r="R47" s="572"/>
      <c r="S47" s="572"/>
      <c r="T47" s="572"/>
      <c r="U47" s="572"/>
      <c r="V47" s="572"/>
      <c r="W47" s="572"/>
      <c r="X47" s="572"/>
      <c r="Y47" s="572"/>
      <c r="Z47" s="572"/>
      <c r="AA47" s="572"/>
      <c r="AB47" s="572"/>
      <c r="AC47" s="572"/>
      <c r="AD47" s="572"/>
      <c r="AE47" s="572"/>
      <c r="AF47" s="572"/>
      <c r="AG47" s="524" t="str">
        <f>Ergebniseingabe!AH51</f>
        <v>0:1</v>
      </c>
      <c r="AH47" s="524"/>
      <c r="AI47" s="531"/>
      <c r="AJ47" s="540" t="str">
        <f>Ergebniseingabe!AK51</f>
        <v>1:1</v>
      </c>
      <c r="AK47" s="541"/>
      <c r="AL47" s="547"/>
      <c r="AM47" s="575"/>
      <c r="AN47" s="576"/>
      <c r="AO47" s="577"/>
      <c r="AP47" s="523" t="str">
        <f>Ergebniseingabe!AQ51</f>
        <v>0:0</v>
      </c>
      <c r="AQ47" s="524"/>
      <c r="AR47" s="524"/>
      <c r="AS47" s="524">
        <f>Ergebniseingabe!AT51</f>
        <v>3</v>
      </c>
      <c r="AT47" s="524"/>
      <c r="AU47" s="531"/>
      <c r="AV47" s="516">
        <f>Ergebniseingabe!AW51</f>
        <v>0</v>
      </c>
      <c r="AW47" s="516"/>
      <c r="AX47" s="516"/>
      <c r="AY47" s="516">
        <f>Ergebniseingabe!AZ51</f>
        <v>2</v>
      </c>
      <c r="AZ47" s="516"/>
      <c r="BA47" s="516"/>
      <c r="BB47" s="516">
        <f>Ergebniseingabe!BC51</f>
        <v>1</v>
      </c>
      <c r="BC47" s="516"/>
      <c r="BD47" s="516"/>
      <c r="BE47" s="541">
        <f>Ergebniseingabe!BF51</f>
        <v>1</v>
      </c>
      <c r="BF47" s="541"/>
      <c r="BG47" s="80" t="str">
        <f>Ergebniseingabe!BH51</f>
        <v>:</v>
      </c>
      <c r="BH47" s="547">
        <f>Ergebniseingabe!BI51</f>
        <v>2</v>
      </c>
      <c r="BI47" s="516"/>
      <c r="BJ47" s="536">
        <f>Ergebniseingabe!BK51</f>
        <v>-1</v>
      </c>
      <c r="BK47" s="536"/>
      <c r="BL47" s="537"/>
      <c r="BM47" s="516">
        <f>Ergebniseingabe!BN51</f>
        <v>2</v>
      </c>
      <c r="BN47" s="516"/>
      <c r="BO47" s="523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29" s="11" customFormat="1" ht="20.25" customHeight="1" thickBot="1" x14ac:dyDescent="0.2">
      <c r="B48" s="590" t="str">
        <f>IF(Ergebniseingabe!C52="","",Ergebniseingabe!C52)</f>
        <v/>
      </c>
      <c r="C48" s="590"/>
      <c r="D48" s="590"/>
      <c r="E48" s="590"/>
      <c r="F48" s="590" t="str">
        <f>IF(Ergebniseingabe!G52="","",Ergebniseingabe!G52)</f>
        <v/>
      </c>
      <c r="G48" s="590"/>
      <c r="H48" s="590"/>
      <c r="J48" s="500">
        <f>Ergebniseingabe!K52</f>
        <v>4</v>
      </c>
      <c r="K48" s="501"/>
      <c r="L48" s="633" t="str">
        <f>Ergebniseingabe!M52</f>
        <v>SSC Donaueschingen</v>
      </c>
      <c r="M48" s="634"/>
      <c r="N48" s="634"/>
      <c r="O48" s="634"/>
      <c r="P48" s="634"/>
      <c r="Q48" s="634"/>
      <c r="R48" s="634"/>
      <c r="S48" s="634"/>
      <c r="T48" s="634"/>
      <c r="U48" s="634"/>
      <c r="V48" s="634"/>
      <c r="W48" s="634"/>
      <c r="X48" s="634"/>
      <c r="Y48" s="634"/>
      <c r="Z48" s="634"/>
      <c r="AA48" s="634"/>
      <c r="AB48" s="634"/>
      <c r="AC48" s="634"/>
      <c r="AD48" s="634"/>
      <c r="AE48" s="634"/>
      <c r="AF48" s="634"/>
      <c r="AG48" s="559" t="str">
        <f>Ergebniseingabe!AH52</f>
        <v>0:1</v>
      </c>
      <c r="AH48" s="559"/>
      <c r="AI48" s="560"/>
      <c r="AJ48" s="561" t="str">
        <f>Ergebniseingabe!AK52</f>
        <v>0:0</v>
      </c>
      <c r="AK48" s="548"/>
      <c r="AL48" s="549"/>
      <c r="AM48" s="561" t="str">
        <f>Ergebniseingabe!AN52</f>
        <v>0:0</v>
      </c>
      <c r="AN48" s="548"/>
      <c r="AO48" s="549"/>
      <c r="AP48" s="573"/>
      <c r="AQ48" s="574"/>
      <c r="AR48" s="574"/>
      <c r="AS48" s="559">
        <f>Ergebniseingabe!AT52</f>
        <v>3</v>
      </c>
      <c r="AT48" s="559"/>
      <c r="AU48" s="560"/>
      <c r="AV48" s="532">
        <f>Ergebniseingabe!AW52</f>
        <v>0</v>
      </c>
      <c r="AW48" s="532"/>
      <c r="AX48" s="532"/>
      <c r="AY48" s="532">
        <f>Ergebniseingabe!AZ52</f>
        <v>2</v>
      </c>
      <c r="AZ48" s="532"/>
      <c r="BA48" s="532"/>
      <c r="BB48" s="532">
        <f>Ergebniseingabe!BC52</f>
        <v>1</v>
      </c>
      <c r="BC48" s="532"/>
      <c r="BD48" s="532"/>
      <c r="BE48" s="548">
        <f>Ergebniseingabe!BF52</f>
        <v>0</v>
      </c>
      <c r="BF48" s="548"/>
      <c r="BG48" s="81" t="str">
        <f>Ergebniseingabe!BH52</f>
        <v>:</v>
      </c>
      <c r="BH48" s="549">
        <f>Ergebniseingabe!BI52</f>
        <v>1</v>
      </c>
      <c r="BI48" s="532"/>
      <c r="BJ48" s="545">
        <f>Ergebniseingabe!BK52</f>
        <v>-1</v>
      </c>
      <c r="BK48" s="545"/>
      <c r="BL48" s="546"/>
      <c r="BM48" s="532">
        <f>Ergebniseingabe!BN52</f>
        <v>2</v>
      </c>
      <c r="BN48" s="532"/>
      <c r="BO48" s="533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 x14ac:dyDescent="0.2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 x14ac:dyDescent="0.15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635" t="str">
        <f>L58</f>
        <v>FC 08 Villingen</v>
      </c>
      <c r="AH50" s="579"/>
      <c r="AI50" s="580"/>
      <c r="AJ50" s="578" t="str">
        <f>L59</f>
        <v>SC Pfullendorf</v>
      </c>
      <c r="AK50" s="579"/>
      <c r="AL50" s="580"/>
      <c r="AM50" s="578" t="str">
        <f>L60</f>
        <v>SF Eintracht Freiburg</v>
      </c>
      <c r="AN50" s="579"/>
      <c r="AO50" s="580"/>
      <c r="AP50" s="578" t="str">
        <f>L61</f>
        <v>SV 08 Kuppenheim</v>
      </c>
      <c r="AQ50" s="579"/>
      <c r="AR50" s="587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 x14ac:dyDescent="0.15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636"/>
      <c r="AH51" s="582"/>
      <c r="AI51" s="583"/>
      <c r="AJ51" s="581"/>
      <c r="AK51" s="582"/>
      <c r="AL51" s="583"/>
      <c r="AM51" s="581"/>
      <c r="AN51" s="582"/>
      <c r="AO51" s="583"/>
      <c r="AP51" s="581"/>
      <c r="AQ51" s="582"/>
      <c r="AR51" s="588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 x14ac:dyDescent="0.15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636"/>
      <c r="AH52" s="582"/>
      <c r="AI52" s="583"/>
      <c r="AJ52" s="581"/>
      <c r="AK52" s="582"/>
      <c r="AL52" s="583"/>
      <c r="AM52" s="581"/>
      <c r="AN52" s="582"/>
      <c r="AO52" s="583"/>
      <c r="AP52" s="581"/>
      <c r="AQ52" s="582"/>
      <c r="AR52" s="588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 x14ac:dyDescent="0.15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636"/>
      <c r="AH53" s="582"/>
      <c r="AI53" s="583"/>
      <c r="AJ53" s="581"/>
      <c r="AK53" s="582"/>
      <c r="AL53" s="583"/>
      <c r="AM53" s="581"/>
      <c r="AN53" s="582"/>
      <c r="AO53" s="583"/>
      <c r="AP53" s="581"/>
      <c r="AQ53" s="582"/>
      <c r="AR53" s="588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 x14ac:dyDescent="0.15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636"/>
      <c r="AH54" s="582"/>
      <c r="AI54" s="583"/>
      <c r="AJ54" s="581"/>
      <c r="AK54" s="582"/>
      <c r="AL54" s="583"/>
      <c r="AM54" s="581"/>
      <c r="AN54" s="582"/>
      <c r="AO54" s="583"/>
      <c r="AP54" s="581"/>
      <c r="AQ54" s="582"/>
      <c r="AR54" s="588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 x14ac:dyDescent="0.15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636"/>
      <c r="AH55" s="582"/>
      <c r="AI55" s="583"/>
      <c r="AJ55" s="581"/>
      <c r="AK55" s="582"/>
      <c r="AL55" s="583"/>
      <c r="AM55" s="581"/>
      <c r="AN55" s="582"/>
      <c r="AO55" s="583"/>
      <c r="AP55" s="581"/>
      <c r="AQ55" s="582"/>
      <c r="AR55" s="588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 x14ac:dyDescent="0.2">
      <c r="B56" s="594" t="s">
        <v>16</v>
      </c>
      <c r="C56" s="595"/>
      <c r="D56" s="595"/>
      <c r="E56" s="595"/>
      <c r="F56" s="595"/>
      <c r="G56" s="595"/>
      <c r="H56" s="596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636"/>
      <c r="AH56" s="582"/>
      <c r="AI56" s="583"/>
      <c r="AJ56" s="581"/>
      <c r="AK56" s="582"/>
      <c r="AL56" s="583"/>
      <c r="AM56" s="581"/>
      <c r="AN56" s="582"/>
      <c r="AO56" s="583"/>
      <c r="AP56" s="581"/>
      <c r="AQ56" s="582"/>
      <c r="AR56" s="588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 x14ac:dyDescent="0.2">
      <c r="B57" s="591" t="s">
        <v>17</v>
      </c>
      <c r="C57" s="592"/>
      <c r="D57" s="592"/>
      <c r="E57" s="593"/>
      <c r="F57" s="591" t="s">
        <v>18</v>
      </c>
      <c r="G57" s="592"/>
      <c r="H57" s="593"/>
      <c r="J57" s="568" t="str">
        <f>Ergebniseingabe!K61</f>
        <v>Gruppe B</v>
      </c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69"/>
      <c r="AE57" s="569"/>
      <c r="AF57" s="570"/>
      <c r="AG57" s="637"/>
      <c r="AH57" s="585"/>
      <c r="AI57" s="586"/>
      <c r="AJ57" s="584"/>
      <c r="AK57" s="585"/>
      <c r="AL57" s="586"/>
      <c r="AM57" s="584"/>
      <c r="AN57" s="585"/>
      <c r="AO57" s="586"/>
      <c r="AP57" s="584"/>
      <c r="AQ57" s="585"/>
      <c r="AR57" s="589"/>
      <c r="AS57" s="558" t="s">
        <v>19</v>
      </c>
      <c r="AT57" s="534"/>
      <c r="AU57" s="534"/>
      <c r="AV57" s="534" t="s">
        <v>20</v>
      </c>
      <c r="AW57" s="534"/>
      <c r="AX57" s="534"/>
      <c r="AY57" s="534" t="s">
        <v>21</v>
      </c>
      <c r="AZ57" s="534"/>
      <c r="BA57" s="534"/>
      <c r="BB57" s="534" t="s">
        <v>22</v>
      </c>
      <c r="BC57" s="534"/>
      <c r="BD57" s="534"/>
      <c r="BE57" s="534" t="s">
        <v>23</v>
      </c>
      <c r="BF57" s="534"/>
      <c r="BG57" s="534"/>
      <c r="BH57" s="534"/>
      <c r="BI57" s="534"/>
      <c r="BJ57" s="534" t="s">
        <v>24</v>
      </c>
      <c r="BK57" s="534"/>
      <c r="BL57" s="535"/>
      <c r="BM57" s="534" t="s">
        <v>25</v>
      </c>
      <c r="BN57" s="534"/>
      <c r="BO57" s="538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 x14ac:dyDescent="0.15">
      <c r="B58" s="564" t="str">
        <f>IF(Ergebniseingabe!C62="","",Ergebniseingabe!C62)</f>
        <v/>
      </c>
      <c r="C58" s="564"/>
      <c r="D58" s="564"/>
      <c r="E58" s="564"/>
      <c r="F58" s="564" t="str">
        <f>IF(Ergebniseingabe!G62="","",Ergebniseingabe!G62)</f>
        <v/>
      </c>
      <c r="G58" s="564"/>
      <c r="H58" s="564"/>
      <c r="J58" s="597">
        <f>Ergebniseingabe!K62</f>
        <v>1</v>
      </c>
      <c r="K58" s="598"/>
      <c r="L58" s="514" t="str">
        <f>Ergebniseingabe!M62</f>
        <v>FC 08 Villingen</v>
      </c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  <c r="AC58" s="515"/>
      <c r="AD58" s="515"/>
      <c r="AE58" s="515"/>
      <c r="AF58" s="515"/>
      <c r="AG58" s="529"/>
      <c r="AH58" s="529"/>
      <c r="AI58" s="530"/>
      <c r="AJ58" s="494" t="str">
        <f>Ergebniseingabe!AK62</f>
        <v>0:0</v>
      </c>
      <c r="AK58" s="494"/>
      <c r="AL58" s="494"/>
      <c r="AM58" s="494" t="str">
        <f>Ergebniseingabe!AN62</f>
        <v>3:0</v>
      </c>
      <c r="AN58" s="494"/>
      <c r="AO58" s="494"/>
      <c r="AP58" s="525" t="str">
        <f>Ergebniseingabe!AQ62</f>
        <v>1:0</v>
      </c>
      <c r="AQ58" s="492"/>
      <c r="AR58" s="492"/>
      <c r="AS58" s="492">
        <f>Ergebniseingabe!AT62</f>
        <v>3</v>
      </c>
      <c r="AT58" s="492"/>
      <c r="AU58" s="493"/>
      <c r="AV58" s="526">
        <f>Ergebniseingabe!AW62</f>
        <v>2</v>
      </c>
      <c r="AW58" s="527"/>
      <c r="AX58" s="528"/>
      <c r="AY58" s="526">
        <f>Ergebniseingabe!AZ62</f>
        <v>1</v>
      </c>
      <c r="AZ58" s="527"/>
      <c r="BA58" s="528"/>
      <c r="BB58" s="526">
        <f>Ergebniseingabe!BC62</f>
        <v>0</v>
      </c>
      <c r="BC58" s="527"/>
      <c r="BD58" s="528"/>
      <c r="BE58" s="527">
        <f>Ergebniseingabe!BF62</f>
        <v>4</v>
      </c>
      <c r="BF58" s="527"/>
      <c r="BG58" s="79" t="str">
        <f>Ergebniseingabe!BH62</f>
        <v>:</v>
      </c>
      <c r="BH58" s="528">
        <f>Ergebniseingabe!BI62</f>
        <v>0</v>
      </c>
      <c r="BI58" s="494"/>
      <c r="BJ58" s="543">
        <f>Ergebniseingabe!BK62</f>
        <v>4</v>
      </c>
      <c r="BK58" s="543"/>
      <c r="BL58" s="544"/>
      <c r="BM58" s="526">
        <f>Ergebniseingabe!BN62</f>
        <v>7</v>
      </c>
      <c r="BN58" s="527"/>
      <c r="BO58" s="539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 x14ac:dyDescent="0.15">
      <c r="B59" s="564" t="str">
        <f>IF(Ergebniseingabe!C63="","",Ergebniseingabe!C63)</f>
        <v/>
      </c>
      <c r="C59" s="564"/>
      <c r="D59" s="564"/>
      <c r="E59" s="564"/>
      <c r="F59" s="564" t="str">
        <f>IF(Ergebniseingabe!G63="","",Ergebniseingabe!G63)</f>
        <v/>
      </c>
      <c r="G59" s="564"/>
      <c r="H59" s="564"/>
      <c r="J59" s="566">
        <f>Ergebniseingabe!K63</f>
        <v>2</v>
      </c>
      <c r="K59" s="567"/>
      <c r="L59" s="571" t="str">
        <f>Ergebniseingabe!M63</f>
        <v>SC Pfullendorf</v>
      </c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24" t="str">
        <f>Ergebniseingabe!AH63</f>
        <v>0:0</v>
      </c>
      <c r="AH59" s="524"/>
      <c r="AI59" s="531"/>
      <c r="AJ59" s="565"/>
      <c r="AK59" s="565"/>
      <c r="AL59" s="565"/>
      <c r="AM59" s="516" t="str">
        <f>Ergebniseingabe!AN63</f>
        <v>1:0</v>
      </c>
      <c r="AN59" s="516"/>
      <c r="AO59" s="516"/>
      <c r="AP59" s="523" t="str">
        <f>Ergebniseingabe!AQ63</f>
        <v>1:0</v>
      </c>
      <c r="AQ59" s="524"/>
      <c r="AR59" s="524"/>
      <c r="AS59" s="524">
        <f>Ergebniseingabe!AT63</f>
        <v>3</v>
      </c>
      <c r="AT59" s="524"/>
      <c r="AU59" s="531"/>
      <c r="AV59" s="540">
        <f>Ergebniseingabe!AW63</f>
        <v>2</v>
      </c>
      <c r="AW59" s="541"/>
      <c r="AX59" s="547"/>
      <c r="AY59" s="540">
        <f>Ergebniseingabe!AZ63</f>
        <v>1</v>
      </c>
      <c r="AZ59" s="541"/>
      <c r="BA59" s="547"/>
      <c r="BB59" s="540">
        <f>Ergebniseingabe!BC63</f>
        <v>0</v>
      </c>
      <c r="BC59" s="541"/>
      <c r="BD59" s="547"/>
      <c r="BE59" s="541">
        <f>Ergebniseingabe!BF63</f>
        <v>2</v>
      </c>
      <c r="BF59" s="541"/>
      <c r="BG59" s="80" t="str">
        <f>Ergebniseingabe!BH63</f>
        <v>:</v>
      </c>
      <c r="BH59" s="547">
        <f>Ergebniseingabe!BI63</f>
        <v>0</v>
      </c>
      <c r="BI59" s="516"/>
      <c r="BJ59" s="536">
        <f>Ergebniseingabe!BK63</f>
        <v>2</v>
      </c>
      <c r="BK59" s="536"/>
      <c r="BL59" s="537"/>
      <c r="BM59" s="540">
        <f>Ergebniseingabe!BN63</f>
        <v>7</v>
      </c>
      <c r="BN59" s="541"/>
      <c r="BO59" s="542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 x14ac:dyDescent="0.15">
      <c r="B60" s="564" t="str">
        <f>IF(Ergebniseingabe!C64="","",Ergebniseingabe!C64)</f>
        <v/>
      </c>
      <c r="C60" s="564"/>
      <c r="D60" s="564"/>
      <c r="E60" s="564"/>
      <c r="F60" s="564" t="str">
        <f>IF(Ergebniseingabe!G64="","",Ergebniseingabe!G64)</f>
        <v/>
      </c>
      <c r="G60" s="564"/>
      <c r="H60" s="564"/>
      <c r="J60" s="566">
        <f>Ergebniseingabe!K64</f>
        <v>3</v>
      </c>
      <c r="K60" s="567"/>
      <c r="L60" s="571" t="str">
        <f>Ergebniseingabe!M64</f>
        <v>SF Eintracht Freiburg</v>
      </c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524" t="str">
        <f>Ergebniseingabe!AH64</f>
        <v>0:3</v>
      </c>
      <c r="AH60" s="524"/>
      <c r="AI60" s="531"/>
      <c r="AJ60" s="516" t="str">
        <f>Ergebniseingabe!AK64</f>
        <v>0:1</v>
      </c>
      <c r="AK60" s="516"/>
      <c r="AL60" s="516"/>
      <c r="AM60" s="565"/>
      <c r="AN60" s="565"/>
      <c r="AO60" s="565"/>
      <c r="AP60" s="523" t="str">
        <f>Ergebniseingabe!AQ64</f>
        <v>3:2</v>
      </c>
      <c r="AQ60" s="524"/>
      <c r="AR60" s="524"/>
      <c r="AS60" s="524">
        <f>Ergebniseingabe!AT64</f>
        <v>3</v>
      </c>
      <c r="AT60" s="524"/>
      <c r="AU60" s="531"/>
      <c r="AV60" s="540">
        <f>Ergebniseingabe!AW64</f>
        <v>1</v>
      </c>
      <c r="AW60" s="541"/>
      <c r="AX60" s="547"/>
      <c r="AY60" s="540">
        <f>Ergebniseingabe!AZ64</f>
        <v>0</v>
      </c>
      <c r="AZ60" s="541"/>
      <c r="BA60" s="547"/>
      <c r="BB60" s="540">
        <f>Ergebniseingabe!BC64</f>
        <v>2</v>
      </c>
      <c r="BC60" s="541"/>
      <c r="BD60" s="547"/>
      <c r="BE60" s="541">
        <f>Ergebniseingabe!BF64</f>
        <v>3</v>
      </c>
      <c r="BF60" s="541"/>
      <c r="BG60" s="80" t="str">
        <f>Ergebniseingabe!BH64</f>
        <v>:</v>
      </c>
      <c r="BH60" s="547">
        <f>Ergebniseingabe!BI64</f>
        <v>6</v>
      </c>
      <c r="BI60" s="516"/>
      <c r="BJ60" s="536">
        <f>Ergebniseingabe!BK64</f>
        <v>-3</v>
      </c>
      <c r="BK60" s="536"/>
      <c r="BL60" s="537"/>
      <c r="BM60" s="540">
        <f>Ergebniseingabe!BN64</f>
        <v>3</v>
      </c>
      <c r="BN60" s="541"/>
      <c r="BO60" s="54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 x14ac:dyDescent="0.2">
      <c r="B61" s="564" t="str">
        <f>IF(Ergebniseingabe!C65="","",Ergebniseingabe!C65)</f>
        <v/>
      </c>
      <c r="C61" s="564"/>
      <c r="D61" s="564"/>
      <c r="E61" s="564"/>
      <c r="F61" s="564" t="str">
        <f>IF(Ergebniseingabe!G65="","",Ergebniseingabe!G65)</f>
        <v/>
      </c>
      <c r="G61" s="564"/>
      <c r="H61" s="564"/>
      <c r="J61" s="500">
        <f>Ergebniseingabe!K65</f>
        <v>4</v>
      </c>
      <c r="K61" s="501"/>
      <c r="L61" s="633" t="str">
        <f>Ergebniseingabe!M65</f>
        <v>SV 08 Kuppenheim</v>
      </c>
      <c r="M61" s="634"/>
      <c r="N61" s="634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634"/>
      <c r="Z61" s="634"/>
      <c r="AA61" s="634"/>
      <c r="AB61" s="634"/>
      <c r="AC61" s="634"/>
      <c r="AD61" s="634"/>
      <c r="AE61" s="634"/>
      <c r="AF61" s="634"/>
      <c r="AG61" s="559" t="str">
        <f>Ergebniseingabe!AH65</f>
        <v>0:1</v>
      </c>
      <c r="AH61" s="559"/>
      <c r="AI61" s="560"/>
      <c r="AJ61" s="532" t="str">
        <f>Ergebniseingabe!AK65</f>
        <v>0:1</v>
      </c>
      <c r="AK61" s="532"/>
      <c r="AL61" s="532"/>
      <c r="AM61" s="532" t="str">
        <f>Ergebniseingabe!AN65</f>
        <v>2:3</v>
      </c>
      <c r="AN61" s="532"/>
      <c r="AO61" s="532"/>
      <c r="AP61" s="573"/>
      <c r="AQ61" s="574"/>
      <c r="AR61" s="574"/>
      <c r="AS61" s="559">
        <f>Ergebniseingabe!AT65</f>
        <v>3</v>
      </c>
      <c r="AT61" s="559"/>
      <c r="AU61" s="560"/>
      <c r="AV61" s="561">
        <f>Ergebniseingabe!AW65</f>
        <v>0</v>
      </c>
      <c r="AW61" s="548"/>
      <c r="AX61" s="549"/>
      <c r="AY61" s="561">
        <f>Ergebniseingabe!AZ65</f>
        <v>0</v>
      </c>
      <c r="AZ61" s="548"/>
      <c r="BA61" s="549"/>
      <c r="BB61" s="561">
        <f>Ergebniseingabe!BC65</f>
        <v>3</v>
      </c>
      <c r="BC61" s="548"/>
      <c r="BD61" s="549"/>
      <c r="BE61" s="548">
        <f>Ergebniseingabe!BF65</f>
        <v>2</v>
      </c>
      <c r="BF61" s="548"/>
      <c r="BG61" s="81" t="str">
        <f>Ergebniseingabe!BH65</f>
        <v>:</v>
      </c>
      <c r="BH61" s="549">
        <f>Ergebniseingabe!BI65</f>
        <v>5</v>
      </c>
      <c r="BI61" s="532"/>
      <c r="BJ61" s="545">
        <f>Ergebniseingabe!BK65</f>
        <v>-3</v>
      </c>
      <c r="BK61" s="545"/>
      <c r="BL61" s="546"/>
      <c r="BM61" s="561">
        <f>Ergebniseingabe!BN65</f>
        <v>0</v>
      </c>
      <c r="BN61" s="548"/>
      <c r="BO61" s="563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2:107" s="11" customFormat="1" ht="18" customHeight="1" x14ac:dyDescent="0.15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2:107" s="11" customFormat="1" ht="7.5" customHeight="1" x14ac:dyDescent="0.15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107" ht="33.75" x14ac:dyDescent="0.15">
      <c r="B64" s="421" t="str">
        <f>$B$2</f>
        <v>SBFV</v>
      </c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21"/>
      <c r="AF64" s="421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  <c r="AR64" s="421"/>
      <c r="AS64" s="421"/>
      <c r="AT64" s="421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114" s="7" customFormat="1" ht="27" x14ac:dyDescent="0.15">
      <c r="B65" s="437" t="str">
        <f>$B$3</f>
        <v>D-Juniorenmeisterschaft 2024</v>
      </c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7"/>
      <c r="Z65" s="437"/>
      <c r="AA65" s="437"/>
      <c r="AB65" s="437"/>
      <c r="AC65" s="437"/>
      <c r="AD65" s="437"/>
      <c r="AE65" s="437"/>
      <c r="AF65" s="437"/>
      <c r="AG65" s="437"/>
      <c r="AH65" s="437"/>
      <c r="AI65" s="437"/>
      <c r="AJ65" s="437"/>
      <c r="AK65" s="437"/>
      <c r="AL65" s="437"/>
      <c r="AM65" s="437"/>
      <c r="AN65" s="437"/>
      <c r="AO65" s="437"/>
      <c r="AP65" s="437"/>
      <c r="AQ65" s="437"/>
      <c r="AR65" s="437"/>
      <c r="AS65" s="437"/>
      <c r="AT65" s="437"/>
      <c r="AV65" s="382" t="s">
        <v>87</v>
      </c>
      <c r="AW65" s="382"/>
      <c r="AX65" s="382"/>
      <c r="AY65" s="382"/>
      <c r="AZ65" s="382"/>
      <c r="BA65" s="382"/>
      <c r="BB65" s="382"/>
      <c r="BC65" s="382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1:114" s="11" customFormat="1" ht="14.25" x14ac:dyDescent="0.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1:114" s="11" customFormat="1" ht="14.25" x14ac:dyDescent="0.1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1:114" s="11" customFormat="1" ht="6.4" customHeight="1" x14ac:dyDescent="0.15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1:114" s="95" customFormat="1" ht="14.25" x14ac:dyDescent="0.15">
      <c r="B69" s="602">
        <f>B6</f>
        <v>45465</v>
      </c>
      <c r="C69" s="602"/>
      <c r="D69" s="602"/>
      <c r="E69" s="602"/>
      <c r="F69" s="602"/>
      <c r="G69" s="602"/>
      <c r="H69" s="602"/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2"/>
      <c r="AA69" s="602"/>
      <c r="AB69" s="602"/>
      <c r="AC69" s="602"/>
      <c r="AD69" s="602"/>
      <c r="AE69" s="602"/>
      <c r="AF69" s="602"/>
      <c r="AG69" s="602"/>
      <c r="AH69" s="602"/>
      <c r="AI69" s="602"/>
      <c r="AJ69" s="602"/>
      <c r="AK69" s="602"/>
      <c r="AL69" s="602"/>
      <c r="AM69" s="602"/>
      <c r="AN69" s="602"/>
      <c r="AO69" s="602"/>
      <c r="AP69" s="602"/>
      <c r="AQ69" s="602"/>
      <c r="AR69" s="602"/>
      <c r="AS69" s="602"/>
      <c r="AT69" s="602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1:114" s="11" customFormat="1" ht="14.25" x14ac:dyDescent="0.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4.25" x14ac:dyDescent="0.15">
      <c r="A71" s="447" t="s">
        <v>62</v>
      </c>
      <c r="B71" s="447"/>
      <c r="C71" s="447"/>
      <c r="D71" s="447"/>
      <c r="E71" s="447"/>
      <c r="F71" s="447"/>
      <c r="G71" s="601">
        <f>Ergebniseingabe!H70</f>
        <v>0.61666666666666636</v>
      </c>
      <c r="H71" s="601"/>
      <c r="I71" s="601"/>
      <c r="J71" s="601"/>
      <c r="K71" s="95" t="s">
        <v>0</v>
      </c>
      <c r="S71" s="100" t="s">
        <v>1</v>
      </c>
      <c r="T71" s="451">
        <f>Ergebniseingabe!U70</f>
        <v>1</v>
      </c>
      <c r="U71" s="451"/>
      <c r="V71" s="101" t="s">
        <v>2</v>
      </c>
      <c r="W71" s="499">
        <f>Ergebniseingabe!X70</f>
        <v>18</v>
      </c>
      <c r="X71" s="499"/>
      <c r="Y71" s="499"/>
      <c r="Z71" s="499"/>
      <c r="AA71" s="499"/>
      <c r="AB71" s="486" t="str">
        <f>Ergebniseingabe!AC70</f>
        <v/>
      </c>
      <c r="AC71" s="486"/>
      <c r="AD71" s="486"/>
      <c r="AE71" s="486"/>
      <c r="AF71" s="486"/>
      <c r="AG71" s="486"/>
      <c r="AH71" s="499">
        <f>Ergebniseingabe!AI70</f>
        <v>0</v>
      </c>
      <c r="AI71" s="499"/>
      <c r="AJ71" s="499"/>
      <c r="AK71" s="499"/>
      <c r="AL71" s="499"/>
      <c r="AM71" s="447" t="s">
        <v>3</v>
      </c>
      <c r="AN71" s="447"/>
      <c r="AO71" s="447"/>
      <c r="AP71" s="447"/>
      <c r="AQ71" s="447"/>
      <c r="AR71" s="447"/>
      <c r="AS71" s="447"/>
      <c r="AT71" s="447"/>
      <c r="AU71" s="447"/>
      <c r="AV71" s="450">
        <f>Ergebniseingabe!AW70</f>
        <v>2</v>
      </c>
      <c r="AW71" s="450"/>
      <c r="AX71" s="450"/>
      <c r="AY71" s="450"/>
      <c r="AZ71" s="45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1:114" s="11" customFormat="1" ht="16.5" customHeight="1" thickBot="1" x14ac:dyDescent="0.2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1:114" s="11" customFormat="1" ht="20.25" customHeight="1" thickBot="1" x14ac:dyDescent="0.2">
      <c r="B73" s="448" t="s">
        <v>9</v>
      </c>
      <c r="C73" s="449"/>
      <c r="D73" s="449" t="s">
        <v>63</v>
      </c>
      <c r="E73" s="449"/>
      <c r="F73" s="449"/>
      <c r="G73" s="449"/>
      <c r="H73" s="553" t="s">
        <v>27</v>
      </c>
      <c r="I73" s="611"/>
      <c r="J73" s="611"/>
      <c r="K73" s="611"/>
      <c r="L73" s="611"/>
      <c r="M73" s="611"/>
      <c r="N73" s="611"/>
      <c r="O73" s="611"/>
      <c r="P73" s="611"/>
      <c r="Q73" s="611"/>
      <c r="R73" s="611"/>
      <c r="S73" s="611"/>
      <c r="T73" s="611"/>
      <c r="U73" s="611"/>
      <c r="V73" s="611"/>
      <c r="W73" s="611"/>
      <c r="X73" s="611"/>
      <c r="Y73" s="611"/>
      <c r="Z73" s="611"/>
      <c r="AA73" s="611"/>
      <c r="AB73" s="611"/>
      <c r="AC73" s="611"/>
      <c r="AD73" s="611"/>
      <c r="AE73" s="611"/>
      <c r="AF73" s="611"/>
      <c r="AG73" s="611"/>
      <c r="AH73" s="611"/>
      <c r="AI73" s="611"/>
      <c r="AJ73" s="611"/>
      <c r="AK73" s="611"/>
      <c r="AL73" s="611"/>
      <c r="AM73" s="611"/>
      <c r="AN73" s="611"/>
      <c r="AO73" s="611"/>
      <c r="AP73" s="611"/>
      <c r="AQ73" s="611"/>
      <c r="AR73" s="611"/>
      <c r="AS73" s="611"/>
      <c r="AT73" s="611"/>
      <c r="AU73" s="611"/>
      <c r="AV73" s="611"/>
      <c r="AW73" s="611"/>
      <c r="AX73" s="612"/>
      <c r="AY73" s="449" t="s">
        <v>12</v>
      </c>
      <c r="AZ73" s="449"/>
      <c r="BA73" s="449"/>
      <c r="BB73" s="449"/>
      <c r="BC73" s="553"/>
      <c r="BD73" s="630"/>
      <c r="BE73" s="611"/>
      <c r="BF73" s="611"/>
      <c r="BG73" s="631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1:114" s="11" customFormat="1" ht="20.25" customHeight="1" x14ac:dyDescent="0.15">
      <c r="B74" s="458">
        <v>13</v>
      </c>
      <c r="C74" s="459"/>
      <c r="D74" s="599">
        <f>Ergebniseingabe!E73</f>
        <v>0.61666666666666636</v>
      </c>
      <c r="E74" s="599"/>
      <c r="F74" s="599"/>
      <c r="G74" s="599"/>
      <c r="H74" s="432" t="str">
        <f>Ergebniseingabe!I73</f>
        <v>FV Lörrach-Brombach</v>
      </c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110" t="s">
        <v>14</v>
      </c>
      <c r="AD74" s="423" t="str">
        <f>Ergebniseingabe!AE73</f>
        <v>SC Pfullendorf</v>
      </c>
      <c r="AE74" s="423"/>
      <c r="AF74" s="423"/>
      <c r="AG74" s="423"/>
      <c r="AH74" s="423"/>
      <c r="AI74" s="423"/>
      <c r="AJ74" s="423"/>
      <c r="AK74" s="423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4"/>
      <c r="AY74" s="554">
        <f>IF(Ergebniseingabe!AZ73="","",Ergebniseingabe!AZ73)</f>
        <v>0</v>
      </c>
      <c r="AZ74" s="554"/>
      <c r="BA74" s="555"/>
      <c r="BB74" s="552">
        <f>IF(Ergebniseingabe!BC73="","",Ergebniseingabe!BC73)</f>
        <v>1</v>
      </c>
      <c r="BC74" s="552"/>
      <c r="BD74" s="616" t="str">
        <f>IF(Ergebniseingabe!BE73="","",Ergebniseingabe!BE73)</f>
        <v/>
      </c>
      <c r="BE74" s="482"/>
      <c r="BF74" s="482"/>
      <c r="BG74" s="483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1:114" s="11" customFormat="1" ht="11.85" customHeight="1" thickBot="1" x14ac:dyDescent="0.2">
      <c r="B75" s="460"/>
      <c r="C75" s="461"/>
      <c r="D75" s="600"/>
      <c r="E75" s="600"/>
      <c r="F75" s="600"/>
      <c r="G75" s="600"/>
      <c r="H75" s="484" t="s">
        <v>28</v>
      </c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485"/>
      <c r="AA75" s="485"/>
      <c r="AB75" s="485"/>
      <c r="AC75" s="111"/>
      <c r="AD75" s="485" t="s">
        <v>29</v>
      </c>
      <c r="AE75" s="485"/>
      <c r="AF75" s="485"/>
      <c r="AG75" s="485"/>
      <c r="AH75" s="485"/>
      <c r="AI75" s="485"/>
      <c r="AJ75" s="485"/>
      <c r="AK75" s="485"/>
      <c r="AL75" s="485"/>
      <c r="AM75" s="485"/>
      <c r="AN75" s="485"/>
      <c r="AO75" s="485"/>
      <c r="AP75" s="485"/>
      <c r="AQ75" s="485"/>
      <c r="AR75" s="485"/>
      <c r="AS75" s="485"/>
      <c r="AT75" s="485"/>
      <c r="AU75" s="485"/>
      <c r="AV75" s="485"/>
      <c r="AW75" s="485"/>
      <c r="AX75" s="562"/>
      <c r="AY75" s="556"/>
      <c r="AZ75" s="556"/>
      <c r="BA75" s="556"/>
      <c r="BB75" s="556"/>
      <c r="BC75" s="557"/>
      <c r="BD75" s="613"/>
      <c r="BE75" s="614"/>
      <c r="BF75" s="614"/>
      <c r="BG75" s="61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1:114" s="11" customFormat="1" ht="20.25" customHeight="1" thickBot="1" x14ac:dyDescent="0.2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1:114" s="11" customFormat="1" ht="20.25" customHeight="1" thickBot="1" x14ac:dyDescent="0.2">
      <c r="B77" s="448" t="s">
        <v>9</v>
      </c>
      <c r="C77" s="449"/>
      <c r="D77" s="449" t="s">
        <v>63</v>
      </c>
      <c r="E77" s="449"/>
      <c r="F77" s="449"/>
      <c r="G77" s="449"/>
      <c r="H77" s="553" t="s">
        <v>30</v>
      </c>
      <c r="I77" s="611"/>
      <c r="J77" s="611"/>
      <c r="K77" s="611"/>
      <c r="L77" s="611"/>
      <c r="M77" s="611"/>
      <c r="N77" s="611"/>
      <c r="O77" s="611"/>
      <c r="P77" s="611"/>
      <c r="Q77" s="611"/>
      <c r="R77" s="611"/>
      <c r="S77" s="611"/>
      <c r="T77" s="611"/>
      <c r="U77" s="611"/>
      <c r="V77" s="611"/>
      <c r="W77" s="611"/>
      <c r="X77" s="611"/>
      <c r="Y77" s="611"/>
      <c r="Z77" s="611"/>
      <c r="AA77" s="611"/>
      <c r="AB77" s="611"/>
      <c r="AC77" s="611"/>
      <c r="AD77" s="611"/>
      <c r="AE77" s="611"/>
      <c r="AF77" s="611"/>
      <c r="AG77" s="611"/>
      <c r="AH77" s="611"/>
      <c r="AI77" s="611"/>
      <c r="AJ77" s="611"/>
      <c r="AK77" s="611"/>
      <c r="AL77" s="611"/>
      <c r="AM77" s="611"/>
      <c r="AN77" s="611"/>
      <c r="AO77" s="611"/>
      <c r="AP77" s="611"/>
      <c r="AQ77" s="611"/>
      <c r="AR77" s="611"/>
      <c r="AS77" s="611"/>
      <c r="AT77" s="611"/>
      <c r="AU77" s="611"/>
      <c r="AV77" s="611"/>
      <c r="AW77" s="611"/>
      <c r="AX77" s="612"/>
      <c r="AY77" s="449" t="s">
        <v>12</v>
      </c>
      <c r="AZ77" s="449"/>
      <c r="BA77" s="449"/>
      <c r="BB77" s="449"/>
      <c r="BC77" s="553"/>
      <c r="BD77" s="630"/>
      <c r="BE77" s="611"/>
      <c r="BF77" s="611"/>
      <c r="BG77" s="631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1:114" s="11" customFormat="1" ht="20.25" customHeight="1" x14ac:dyDescent="0.15">
      <c r="B78" s="458">
        <v>14</v>
      </c>
      <c r="C78" s="459"/>
      <c r="D78" s="599">
        <f>Ergebniseingabe!E77</f>
        <v>0.6305555555555552</v>
      </c>
      <c r="E78" s="599"/>
      <c r="F78" s="599"/>
      <c r="G78" s="599"/>
      <c r="H78" s="432" t="str">
        <f>Ergebniseingabe!I77</f>
        <v>FC 08 Villingen</v>
      </c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110" t="s">
        <v>14</v>
      </c>
      <c r="AD78" s="423" t="str">
        <f>Ergebniseingabe!AE77</f>
        <v>Offenburger FV</v>
      </c>
      <c r="AE78" s="423"/>
      <c r="AF78" s="423"/>
      <c r="AG78" s="423"/>
      <c r="AH78" s="423"/>
      <c r="AI78" s="423"/>
      <c r="AJ78" s="423"/>
      <c r="AK78" s="423"/>
      <c r="AL78" s="423"/>
      <c r="AM78" s="423"/>
      <c r="AN78" s="423"/>
      <c r="AO78" s="423"/>
      <c r="AP78" s="423"/>
      <c r="AQ78" s="423"/>
      <c r="AR78" s="423"/>
      <c r="AS78" s="423"/>
      <c r="AT78" s="423"/>
      <c r="AU78" s="423"/>
      <c r="AV78" s="423"/>
      <c r="AW78" s="423"/>
      <c r="AX78" s="424"/>
      <c r="AY78" s="554">
        <f>IF(Ergebniseingabe!AZ77="","",Ergebniseingabe!AZ77)</f>
        <v>5</v>
      </c>
      <c r="AZ78" s="554"/>
      <c r="BA78" s="555"/>
      <c r="BB78" s="552">
        <f>IF(Ergebniseingabe!BC77="","",Ergebniseingabe!BC77)</f>
        <v>4</v>
      </c>
      <c r="BC78" s="552"/>
      <c r="BD78" s="616" t="str">
        <f>IF(Ergebniseingabe!BE77="","",Ergebniseingabe!BE77)</f>
        <v>n. 9m</v>
      </c>
      <c r="BE78" s="482"/>
      <c r="BF78" s="482"/>
      <c r="BG78" s="483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1:114" s="11" customFormat="1" ht="11.85" customHeight="1" thickBot="1" x14ac:dyDescent="0.2">
      <c r="B79" s="460"/>
      <c r="C79" s="461"/>
      <c r="D79" s="600"/>
      <c r="E79" s="600"/>
      <c r="F79" s="600"/>
      <c r="G79" s="600"/>
      <c r="H79" s="484" t="s">
        <v>31</v>
      </c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5"/>
      <c r="V79" s="485"/>
      <c r="W79" s="485"/>
      <c r="X79" s="485"/>
      <c r="Y79" s="485"/>
      <c r="Z79" s="485"/>
      <c r="AA79" s="485"/>
      <c r="AB79" s="485"/>
      <c r="AC79" s="111"/>
      <c r="AD79" s="485" t="s">
        <v>32</v>
      </c>
      <c r="AE79" s="485"/>
      <c r="AF79" s="485"/>
      <c r="AG79" s="485"/>
      <c r="AH79" s="485"/>
      <c r="AI79" s="485"/>
      <c r="AJ79" s="485"/>
      <c r="AK79" s="485"/>
      <c r="AL79" s="485"/>
      <c r="AM79" s="485"/>
      <c r="AN79" s="485"/>
      <c r="AO79" s="485"/>
      <c r="AP79" s="485"/>
      <c r="AQ79" s="485"/>
      <c r="AR79" s="485"/>
      <c r="AS79" s="485"/>
      <c r="AT79" s="485"/>
      <c r="AU79" s="485"/>
      <c r="AV79" s="485"/>
      <c r="AW79" s="485"/>
      <c r="AX79" s="562"/>
      <c r="AY79" s="556"/>
      <c r="AZ79" s="556"/>
      <c r="BA79" s="556"/>
      <c r="BB79" s="556"/>
      <c r="BC79" s="557"/>
      <c r="BD79" s="613"/>
      <c r="BE79" s="614"/>
      <c r="BF79" s="614"/>
      <c r="BG79" s="61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1:114" s="11" customFormat="1" ht="20.25" customHeight="1" thickBot="1" x14ac:dyDescent="0.2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95" s="11" customFormat="1" ht="20.25" customHeight="1" thickBot="1" x14ac:dyDescent="0.2">
      <c r="B81" s="603" t="s">
        <v>9</v>
      </c>
      <c r="C81" s="604"/>
      <c r="D81" s="604" t="s">
        <v>63</v>
      </c>
      <c r="E81" s="604"/>
      <c r="F81" s="604"/>
      <c r="G81" s="604"/>
      <c r="H81" s="608" t="s">
        <v>33</v>
      </c>
      <c r="I81" s="609"/>
      <c r="J81" s="609"/>
      <c r="K81" s="609"/>
      <c r="L81" s="609"/>
      <c r="M81" s="609"/>
      <c r="N81" s="609"/>
      <c r="O81" s="609"/>
      <c r="P81" s="609"/>
      <c r="Q81" s="609"/>
      <c r="R81" s="609"/>
      <c r="S81" s="609"/>
      <c r="T81" s="609"/>
      <c r="U81" s="609"/>
      <c r="V81" s="609"/>
      <c r="W81" s="609"/>
      <c r="X81" s="609"/>
      <c r="Y81" s="609"/>
      <c r="Z81" s="609"/>
      <c r="AA81" s="609"/>
      <c r="AB81" s="609"/>
      <c r="AC81" s="609"/>
      <c r="AD81" s="609"/>
      <c r="AE81" s="609"/>
      <c r="AF81" s="609"/>
      <c r="AG81" s="609"/>
      <c r="AH81" s="609"/>
      <c r="AI81" s="609"/>
      <c r="AJ81" s="609"/>
      <c r="AK81" s="609"/>
      <c r="AL81" s="609"/>
      <c r="AM81" s="609"/>
      <c r="AN81" s="609"/>
      <c r="AO81" s="609"/>
      <c r="AP81" s="609"/>
      <c r="AQ81" s="609"/>
      <c r="AR81" s="609"/>
      <c r="AS81" s="609"/>
      <c r="AT81" s="609"/>
      <c r="AU81" s="609"/>
      <c r="AV81" s="609"/>
      <c r="AW81" s="609"/>
      <c r="AX81" s="610"/>
      <c r="AY81" s="604" t="s">
        <v>12</v>
      </c>
      <c r="AZ81" s="604"/>
      <c r="BA81" s="604"/>
      <c r="BB81" s="604"/>
      <c r="BC81" s="608"/>
      <c r="BD81" s="619"/>
      <c r="BE81" s="609"/>
      <c r="BF81" s="609"/>
      <c r="BG81" s="620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95" s="11" customFormat="1" ht="20.25" customHeight="1" x14ac:dyDescent="0.15">
      <c r="B82" s="458">
        <v>15</v>
      </c>
      <c r="C82" s="459"/>
      <c r="D82" s="599">
        <f>Ergebniseingabe!E81</f>
        <v>0.64444444444444404</v>
      </c>
      <c r="E82" s="599"/>
      <c r="F82" s="599"/>
      <c r="G82" s="599"/>
      <c r="H82" s="432" t="str">
        <f>Ergebniseingabe!I81</f>
        <v>SSC Donaueschingen</v>
      </c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110" t="s">
        <v>14</v>
      </c>
      <c r="AD82" s="423" t="str">
        <f>Ergebniseingabe!AE81</f>
        <v>SV 08 Kuppenheim</v>
      </c>
      <c r="AE82" s="423"/>
      <c r="AF82" s="423"/>
      <c r="AG82" s="423"/>
      <c r="AH82" s="423"/>
      <c r="AI82" s="423"/>
      <c r="AJ82" s="423"/>
      <c r="AK82" s="423"/>
      <c r="AL82" s="423"/>
      <c r="AM82" s="423"/>
      <c r="AN82" s="423"/>
      <c r="AO82" s="423"/>
      <c r="AP82" s="423"/>
      <c r="AQ82" s="423"/>
      <c r="AR82" s="423"/>
      <c r="AS82" s="423"/>
      <c r="AT82" s="423"/>
      <c r="AU82" s="423"/>
      <c r="AV82" s="423"/>
      <c r="AW82" s="423"/>
      <c r="AX82" s="424"/>
      <c r="AY82" s="554">
        <f>IF(Ergebniseingabe!AZ81="","",Ergebniseingabe!AZ81)</f>
        <v>0</v>
      </c>
      <c r="AZ82" s="554"/>
      <c r="BA82" s="555"/>
      <c r="BB82" s="552">
        <f>IF(Ergebniseingabe!BC81="","",Ergebniseingabe!BC81)</f>
        <v>3</v>
      </c>
      <c r="BC82" s="552"/>
      <c r="BD82" s="616" t="str">
        <f>IF(Ergebniseingabe!BE81="","",Ergebniseingabe!BE81)</f>
        <v/>
      </c>
      <c r="BE82" s="482"/>
      <c r="BF82" s="482"/>
      <c r="BG82" s="483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95" s="11" customFormat="1" ht="11.85" customHeight="1" thickBot="1" x14ac:dyDescent="0.2">
      <c r="B83" s="460"/>
      <c r="C83" s="461"/>
      <c r="D83" s="600"/>
      <c r="E83" s="600"/>
      <c r="F83" s="600"/>
      <c r="G83" s="600"/>
      <c r="H83" s="484" t="s">
        <v>34</v>
      </c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5"/>
      <c r="AC83" s="111"/>
      <c r="AD83" s="485" t="s">
        <v>35</v>
      </c>
      <c r="AE83" s="485"/>
      <c r="AF83" s="485"/>
      <c r="AG83" s="485"/>
      <c r="AH83" s="485"/>
      <c r="AI83" s="485"/>
      <c r="AJ83" s="485"/>
      <c r="AK83" s="485"/>
      <c r="AL83" s="485"/>
      <c r="AM83" s="485"/>
      <c r="AN83" s="485"/>
      <c r="AO83" s="485"/>
      <c r="AP83" s="485"/>
      <c r="AQ83" s="485"/>
      <c r="AR83" s="485"/>
      <c r="AS83" s="485"/>
      <c r="AT83" s="485"/>
      <c r="AU83" s="485"/>
      <c r="AV83" s="485"/>
      <c r="AW83" s="485"/>
      <c r="AX83" s="562"/>
      <c r="AY83" s="556"/>
      <c r="AZ83" s="556"/>
      <c r="BA83" s="556"/>
      <c r="BB83" s="556"/>
      <c r="BC83" s="557"/>
      <c r="BD83" s="613"/>
      <c r="BE83" s="614"/>
      <c r="BF83" s="614"/>
      <c r="BG83" s="61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2:95" s="11" customFormat="1" ht="20.25" customHeight="1" thickBot="1" x14ac:dyDescent="0.2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95" s="11" customFormat="1" ht="20.25" customHeight="1" thickBot="1" x14ac:dyDescent="0.2">
      <c r="B85" s="603" t="s">
        <v>9</v>
      </c>
      <c r="C85" s="604"/>
      <c r="D85" s="604" t="s">
        <v>63</v>
      </c>
      <c r="E85" s="604"/>
      <c r="F85" s="604"/>
      <c r="G85" s="604"/>
      <c r="H85" s="608" t="s">
        <v>36</v>
      </c>
      <c r="I85" s="609"/>
      <c r="J85" s="609"/>
      <c r="K85" s="609"/>
      <c r="L85" s="609"/>
      <c r="M85" s="609"/>
      <c r="N85" s="609"/>
      <c r="O85" s="609"/>
      <c r="P85" s="609"/>
      <c r="Q85" s="609"/>
      <c r="R85" s="609"/>
      <c r="S85" s="609"/>
      <c r="T85" s="609"/>
      <c r="U85" s="609"/>
      <c r="V85" s="609"/>
      <c r="W85" s="609"/>
      <c r="X85" s="609"/>
      <c r="Y85" s="609"/>
      <c r="Z85" s="609"/>
      <c r="AA85" s="609"/>
      <c r="AB85" s="609"/>
      <c r="AC85" s="609"/>
      <c r="AD85" s="609"/>
      <c r="AE85" s="609"/>
      <c r="AF85" s="609"/>
      <c r="AG85" s="609"/>
      <c r="AH85" s="609"/>
      <c r="AI85" s="609"/>
      <c r="AJ85" s="609"/>
      <c r="AK85" s="609"/>
      <c r="AL85" s="609"/>
      <c r="AM85" s="609"/>
      <c r="AN85" s="609"/>
      <c r="AO85" s="609"/>
      <c r="AP85" s="609"/>
      <c r="AQ85" s="609"/>
      <c r="AR85" s="609"/>
      <c r="AS85" s="609"/>
      <c r="AT85" s="609"/>
      <c r="AU85" s="609"/>
      <c r="AV85" s="609"/>
      <c r="AW85" s="609"/>
      <c r="AX85" s="610"/>
      <c r="AY85" s="604" t="s">
        <v>12</v>
      </c>
      <c r="AZ85" s="604"/>
      <c r="BA85" s="604"/>
      <c r="BB85" s="604"/>
      <c r="BC85" s="608"/>
      <c r="BD85" s="619"/>
      <c r="BE85" s="609"/>
      <c r="BF85" s="609"/>
      <c r="BG85" s="620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95" s="11" customFormat="1" ht="20.25" customHeight="1" x14ac:dyDescent="0.15">
      <c r="B86" s="458">
        <v>16</v>
      </c>
      <c r="C86" s="459"/>
      <c r="D86" s="599">
        <f>Ergebniseingabe!E85</f>
        <v>0.65833333333333288</v>
      </c>
      <c r="E86" s="599"/>
      <c r="F86" s="599"/>
      <c r="G86" s="599"/>
      <c r="H86" s="432" t="str">
        <f>Ergebniseingabe!I85</f>
        <v>FC Pfaffenweiler</v>
      </c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110" t="s">
        <v>14</v>
      </c>
      <c r="AD86" s="423" t="str">
        <f>Ergebniseingabe!AE85</f>
        <v>SF Eintracht Freiburg</v>
      </c>
      <c r="AE86" s="423"/>
      <c r="AF86" s="423"/>
      <c r="AG86" s="423"/>
      <c r="AH86" s="423"/>
      <c r="AI86" s="423"/>
      <c r="AJ86" s="423"/>
      <c r="AK86" s="423"/>
      <c r="AL86" s="423"/>
      <c r="AM86" s="423"/>
      <c r="AN86" s="423"/>
      <c r="AO86" s="423"/>
      <c r="AP86" s="423"/>
      <c r="AQ86" s="423"/>
      <c r="AR86" s="423"/>
      <c r="AS86" s="423"/>
      <c r="AT86" s="423"/>
      <c r="AU86" s="423"/>
      <c r="AV86" s="423"/>
      <c r="AW86" s="423"/>
      <c r="AX86" s="424"/>
      <c r="AY86" s="554">
        <f>IF(Ergebniseingabe!AZ85="","",Ergebniseingabe!AZ85)</f>
        <v>2</v>
      </c>
      <c r="AZ86" s="554"/>
      <c r="BA86" s="555"/>
      <c r="BB86" s="552">
        <f>IF(Ergebniseingabe!BC85="","",Ergebniseingabe!BC85)</f>
        <v>0</v>
      </c>
      <c r="BC86" s="552"/>
      <c r="BD86" s="616" t="str">
        <f>IF(Ergebniseingabe!BE85="","",Ergebniseingabe!BE85)</f>
        <v/>
      </c>
      <c r="BE86" s="482"/>
      <c r="BF86" s="482"/>
      <c r="BG86" s="483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85" customHeight="1" thickBot="1" x14ac:dyDescent="0.2">
      <c r="B87" s="460"/>
      <c r="C87" s="461"/>
      <c r="D87" s="600"/>
      <c r="E87" s="600"/>
      <c r="F87" s="600"/>
      <c r="G87" s="600"/>
      <c r="H87" s="484" t="s">
        <v>37</v>
      </c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485"/>
      <c r="X87" s="485"/>
      <c r="Y87" s="485"/>
      <c r="Z87" s="485"/>
      <c r="AA87" s="485"/>
      <c r="AB87" s="485"/>
      <c r="AC87" s="111"/>
      <c r="AD87" s="485" t="s">
        <v>38</v>
      </c>
      <c r="AE87" s="485"/>
      <c r="AF87" s="485"/>
      <c r="AG87" s="485"/>
      <c r="AH87" s="485"/>
      <c r="AI87" s="485"/>
      <c r="AJ87" s="485"/>
      <c r="AK87" s="485"/>
      <c r="AL87" s="485"/>
      <c r="AM87" s="485"/>
      <c r="AN87" s="485"/>
      <c r="AO87" s="485"/>
      <c r="AP87" s="485"/>
      <c r="AQ87" s="485"/>
      <c r="AR87" s="485"/>
      <c r="AS87" s="485"/>
      <c r="AT87" s="485"/>
      <c r="AU87" s="485"/>
      <c r="AV87" s="485"/>
      <c r="AW87" s="485"/>
      <c r="AX87" s="562"/>
      <c r="AY87" s="556"/>
      <c r="AZ87" s="556"/>
      <c r="BA87" s="556"/>
      <c r="BB87" s="556"/>
      <c r="BC87" s="557"/>
      <c r="BD87" s="613"/>
      <c r="BE87" s="614"/>
      <c r="BF87" s="614"/>
      <c r="BG87" s="61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 x14ac:dyDescent="0.2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 x14ac:dyDescent="0.2">
      <c r="B89" s="462" t="s">
        <v>9</v>
      </c>
      <c r="C89" s="463"/>
      <c r="D89" s="463" t="s">
        <v>63</v>
      </c>
      <c r="E89" s="463"/>
      <c r="F89" s="463"/>
      <c r="G89" s="463"/>
      <c r="H89" s="605" t="s">
        <v>39</v>
      </c>
      <c r="I89" s="606"/>
      <c r="J89" s="606"/>
      <c r="K89" s="606"/>
      <c r="L89" s="606"/>
      <c r="M89" s="606"/>
      <c r="N89" s="606"/>
      <c r="O89" s="606"/>
      <c r="P89" s="606"/>
      <c r="Q89" s="606"/>
      <c r="R89" s="606"/>
      <c r="S89" s="606"/>
      <c r="T89" s="606"/>
      <c r="U89" s="606"/>
      <c r="V89" s="606"/>
      <c r="W89" s="606"/>
      <c r="X89" s="606"/>
      <c r="Y89" s="606"/>
      <c r="Z89" s="606"/>
      <c r="AA89" s="606"/>
      <c r="AB89" s="606"/>
      <c r="AC89" s="606"/>
      <c r="AD89" s="606"/>
      <c r="AE89" s="606"/>
      <c r="AF89" s="606"/>
      <c r="AG89" s="606"/>
      <c r="AH89" s="606"/>
      <c r="AI89" s="606"/>
      <c r="AJ89" s="606"/>
      <c r="AK89" s="606"/>
      <c r="AL89" s="606"/>
      <c r="AM89" s="606"/>
      <c r="AN89" s="606"/>
      <c r="AO89" s="606"/>
      <c r="AP89" s="606"/>
      <c r="AQ89" s="606"/>
      <c r="AR89" s="606"/>
      <c r="AS89" s="606"/>
      <c r="AT89" s="606"/>
      <c r="AU89" s="606"/>
      <c r="AV89" s="606"/>
      <c r="AW89" s="606"/>
      <c r="AX89" s="607"/>
      <c r="AY89" s="463" t="s">
        <v>12</v>
      </c>
      <c r="AZ89" s="463"/>
      <c r="BA89" s="463"/>
      <c r="BB89" s="463"/>
      <c r="BC89" s="605"/>
      <c r="BD89" s="617"/>
      <c r="BE89" s="606"/>
      <c r="BF89" s="606"/>
      <c r="BG89" s="61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 x14ac:dyDescent="0.15">
      <c r="B90" s="458">
        <v>17</v>
      </c>
      <c r="C90" s="459"/>
      <c r="D90" s="599">
        <f>Ergebniseingabe!E89</f>
        <v>0.67222222222222172</v>
      </c>
      <c r="E90" s="599"/>
      <c r="F90" s="599"/>
      <c r="G90" s="599"/>
      <c r="H90" s="432" t="str">
        <f>Ergebniseingabe!I89</f>
        <v>FV Lörrach-Brombach</v>
      </c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110" t="s">
        <v>14</v>
      </c>
      <c r="AD90" s="423" t="str">
        <f>Ergebniseingabe!AE89</f>
        <v>Offenburger FV</v>
      </c>
      <c r="AE90" s="423"/>
      <c r="AF90" s="423"/>
      <c r="AG90" s="423"/>
      <c r="AH90" s="423"/>
      <c r="AI90" s="423"/>
      <c r="AJ90" s="423"/>
      <c r="AK90" s="423"/>
      <c r="AL90" s="423"/>
      <c r="AM90" s="423"/>
      <c r="AN90" s="423"/>
      <c r="AO90" s="423"/>
      <c r="AP90" s="423"/>
      <c r="AQ90" s="423"/>
      <c r="AR90" s="423"/>
      <c r="AS90" s="423"/>
      <c r="AT90" s="423"/>
      <c r="AU90" s="423"/>
      <c r="AV90" s="423"/>
      <c r="AW90" s="423"/>
      <c r="AX90" s="424"/>
      <c r="AY90" s="554">
        <f>IF(Ergebniseingabe!AZ89="","",Ergebniseingabe!AZ89)</f>
        <v>1</v>
      </c>
      <c r="AZ90" s="554"/>
      <c r="BA90" s="555"/>
      <c r="BB90" s="552">
        <f>IF(Ergebniseingabe!BC89="","",Ergebniseingabe!BC89)</f>
        <v>0</v>
      </c>
      <c r="BC90" s="552"/>
      <c r="BD90" s="616" t="str">
        <f>IF(Ergebniseingabe!BE89="","",Ergebniseingabe!BE89)</f>
        <v/>
      </c>
      <c r="BE90" s="482"/>
      <c r="BF90" s="482"/>
      <c r="BG90" s="483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95" s="11" customFormat="1" ht="11.85" customHeight="1" thickBot="1" x14ac:dyDescent="0.2">
      <c r="B91" s="460"/>
      <c r="C91" s="461"/>
      <c r="D91" s="600"/>
      <c r="E91" s="600"/>
      <c r="F91" s="600"/>
      <c r="G91" s="600"/>
      <c r="H91" s="484" t="s">
        <v>40</v>
      </c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5"/>
      <c r="AB91" s="485"/>
      <c r="AC91" s="111"/>
      <c r="AD91" s="485" t="s">
        <v>41</v>
      </c>
      <c r="AE91" s="485"/>
      <c r="AF91" s="485"/>
      <c r="AG91" s="485"/>
      <c r="AH91" s="485"/>
      <c r="AI91" s="485"/>
      <c r="AJ91" s="485"/>
      <c r="AK91" s="485"/>
      <c r="AL91" s="485"/>
      <c r="AM91" s="485"/>
      <c r="AN91" s="485"/>
      <c r="AO91" s="485"/>
      <c r="AP91" s="485"/>
      <c r="AQ91" s="485"/>
      <c r="AR91" s="485"/>
      <c r="AS91" s="485"/>
      <c r="AT91" s="485"/>
      <c r="AU91" s="485"/>
      <c r="AV91" s="485"/>
      <c r="AW91" s="485"/>
      <c r="AX91" s="562"/>
      <c r="AY91" s="556"/>
      <c r="AZ91" s="556"/>
      <c r="BA91" s="556"/>
      <c r="BB91" s="556"/>
      <c r="BC91" s="557"/>
      <c r="BD91" s="613"/>
      <c r="BE91" s="614"/>
      <c r="BF91" s="614"/>
      <c r="BG91" s="61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2:95" s="11" customFormat="1" ht="20.25" customHeight="1" thickBot="1" x14ac:dyDescent="0.2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95" s="11" customFormat="1" ht="20.25" customHeight="1" thickBot="1" x14ac:dyDescent="0.2">
      <c r="B93" s="462" t="s">
        <v>9</v>
      </c>
      <c r="C93" s="463"/>
      <c r="D93" s="463" t="s">
        <v>63</v>
      </c>
      <c r="E93" s="463"/>
      <c r="F93" s="463"/>
      <c r="G93" s="463"/>
      <c r="H93" s="605" t="s">
        <v>42</v>
      </c>
      <c r="I93" s="606"/>
      <c r="J93" s="606"/>
      <c r="K93" s="606"/>
      <c r="L93" s="606"/>
      <c r="M93" s="606"/>
      <c r="N93" s="606"/>
      <c r="O93" s="606"/>
      <c r="P93" s="606"/>
      <c r="Q93" s="606"/>
      <c r="R93" s="606"/>
      <c r="S93" s="606"/>
      <c r="T93" s="606"/>
      <c r="U93" s="606"/>
      <c r="V93" s="606"/>
      <c r="W93" s="606"/>
      <c r="X93" s="606"/>
      <c r="Y93" s="606"/>
      <c r="Z93" s="606"/>
      <c r="AA93" s="606"/>
      <c r="AB93" s="606"/>
      <c r="AC93" s="606"/>
      <c r="AD93" s="606"/>
      <c r="AE93" s="606"/>
      <c r="AF93" s="606"/>
      <c r="AG93" s="606"/>
      <c r="AH93" s="606"/>
      <c r="AI93" s="606"/>
      <c r="AJ93" s="606"/>
      <c r="AK93" s="606"/>
      <c r="AL93" s="606"/>
      <c r="AM93" s="606"/>
      <c r="AN93" s="606"/>
      <c r="AO93" s="606"/>
      <c r="AP93" s="606"/>
      <c r="AQ93" s="606"/>
      <c r="AR93" s="606"/>
      <c r="AS93" s="606"/>
      <c r="AT93" s="606"/>
      <c r="AU93" s="606"/>
      <c r="AV93" s="606"/>
      <c r="AW93" s="606"/>
      <c r="AX93" s="607"/>
      <c r="AY93" s="463" t="s">
        <v>12</v>
      </c>
      <c r="AZ93" s="463"/>
      <c r="BA93" s="463"/>
      <c r="BB93" s="463"/>
      <c r="BC93" s="605"/>
      <c r="BD93" s="617"/>
      <c r="BE93" s="606"/>
      <c r="BF93" s="606"/>
      <c r="BG93" s="61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95" s="11" customFormat="1" ht="20.25" customHeight="1" x14ac:dyDescent="0.15">
      <c r="B94" s="458">
        <v>18</v>
      </c>
      <c r="C94" s="459"/>
      <c r="D94" s="599">
        <f>Ergebniseingabe!E93</f>
        <v>0.68611111111111056</v>
      </c>
      <c r="E94" s="599"/>
      <c r="F94" s="599"/>
      <c r="G94" s="599"/>
      <c r="H94" s="432" t="str">
        <f>Ergebniseingabe!I93</f>
        <v>SC Pfullendorf</v>
      </c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110" t="s">
        <v>14</v>
      </c>
      <c r="AD94" s="423" t="str">
        <f>Ergebniseingabe!AE93</f>
        <v>FC 08 Villingen</v>
      </c>
      <c r="AE94" s="423"/>
      <c r="AF94" s="423"/>
      <c r="AG94" s="423"/>
      <c r="AH94" s="423"/>
      <c r="AI94" s="423"/>
      <c r="AJ94" s="423"/>
      <c r="AK94" s="423"/>
      <c r="AL94" s="423"/>
      <c r="AM94" s="423"/>
      <c r="AN94" s="423"/>
      <c r="AO94" s="423"/>
      <c r="AP94" s="423"/>
      <c r="AQ94" s="423"/>
      <c r="AR94" s="423"/>
      <c r="AS94" s="423"/>
      <c r="AT94" s="423"/>
      <c r="AU94" s="423"/>
      <c r="AV94" s="423"/>
      <c r="AW94" s="423"/>
      <c r="AX94" s="424"/>
      <c r="AY94" s="554">
        <f>IF(Ergebniseingabe!AZ93="","",Ergebniseingabe!AZ93)</f>
        <v>0</v>
      </c>
      <c r="AZ94" s="554"/>
      <c r="BA94" s="555"/>
      <c r="BB94" s="552">
        <f>IF(Ergebniseingabe!BC93="","",Ergebniseingabe!BC93)</f>
        <v>1</v>
      </c>
      <c r="BC94" s="552"/>
      <c r="BD94" s="616" t="str">
        <f>IF(Ergebniseingabe!BE93="","",Ergebniseingabe!BE93)</f>
        <v/>
      </c>
      <c r="BE94" s="482"/>
      <c r="BF94" s="482"/>
      <c r="BG94" s="483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95" s="11" customFormat="1" ht="11.85" customHeight="1" thickBot="1" x14ac:dyDescent="0.2">
      <c r="B95" s="460"/>
      <c r="C95" s="461"/>
      <c r="D95" s="600"/>
      <c r="E95" s="600"/>
      <c r="F95" s="600"/>
      <c r="G95" s="600"/>
      <c r="H95" s="484" t="s">
        <v>43</v>
      </c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111"/>
      <c r="AD95" s="485" t="s">
        <v>44</v>
      </c>
      <c r="AE95" s="485"/>
      <c r="AF95" s="485"/>
      <c r="AG95" s="485"/>
      <c r="AH95" s="485"/>
      <c r="AI95" s="485"/>
      <c r="AJ95" s="485"/>
      <c r="AK95" s="485"/>
      <c r="AL95" s="485"/>
      <c r="AM95" s="485"/>
      <c r="AN95" s="485"/>
      <c r="AO95" s="485"/>
      <c r="AP95" s="485"/>
      <c r="AQ95" s="485"/>
      <c r="AR95" s="485"/>
      <c r="AS95" s="485"/>
      <c r="AT95" s="485"/>
      <c r="AU95" s="485"/>
      <c r="AV95" s="485"/>
      <c r="AW95" s="485"/>
      <c r="AX95" s="562"/>
      <c r="AY95" s="556"/>
      <c r="AZ95" s="556"/>
      <c r="BA95" s="556"/>
      <c r="BB95" s="556"/>
      <c r="BC95" s="557"/>
      <c r="BD95" s="613"/>
      <c r="BE95" s="614"/>
      <c r="BF95" s="614"/>
      <c r="BG95" s="61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2:95" s="11" customFormat="1" ht="14.25" x14ac:dyDescent="0.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2:104" s="11" customFormat="1" ht="14.25" x14ac:dyDescent="0.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104" s="11" customFormat="1" ht="14.25" x14ac:dyDescent="0.1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2:104" s="11" customFormat="1" ht="15" thickBot="1" x14ac:dyDescent="0.2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2:104" s="11" customFormat="1" ht="20.25" customHeight="1" x14ac:dyDescent="0.15">
      <c r="I100" s="623" t="s">
        <v>46</v>
      </c>
      <c r="J100" s="624"/>
      <c r="K100" s="629" t="str">
        <f>Ergebniseingabe!L98</f>
        <v>FC 08 Villingen</v>
      </c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3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2:104" s="11" customFormat="1" ht="20.25" customHeight="1" x14ac:dyDescent="0.15">
      <c r="I101" s="621" t="s">
        <v>47</v>
      </c>
      <c r="J101" s="622"/>
      <c r="K101" s="628" t="str">
        <f>Ergebniseingabe!L99</f>
        <v>SC Pfullendorf</v>
      </c>
      <c r="L101" s="439"/>
      <c r="M101" s="439"/>
      <c r="N101" s="439"/>
      <c r="O101" s="439"/>
      <c r="P101" s="439"/>
      <c r="Q101" s="439"/>
      <c r="R101" s="439"/>
      <c r="S101" s="439"/>
      <c r="T101" s="439"/>
      <c r="U101" s="439"/>
      <c r="V101" s="439"/>
      <c r="W101" s="439"/>
      <c r="X101" s="439"/>
      <c r="Y101" s="439"/>
      <c r="Z101" s="439"/>
      <c r="AA101" s="439"/>
      <c r="AB101" s="439"/>
      <c r="AC101" s="439"/>
      <c r="AD101" s="439"/>
      <c r="AE101" s="440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2:104" s="11" customFormat="1" ht="20.25" customHeight="1" x14ac:dyDescent="0.15">
      <c r="I102" s="621" t="s">
        <v>48</v>
      </c>
      <c r="J102" s="622"/>
      <c r="K102" s="628" t="str">
        <f>Ergebniseingabe!L100</f>
        <v>FV Lörrach-Brombach</v>
      </c>
      <c r="L102" s="439"/>
      <c r="M102" s="439"/>
      <c r="N102" s="439"/>
      <c r="O102" s="439"/>
      <c r="P102" s="439"/>
      <c r="Q102" s="439"/>
      <c r="R102" s="439"/>
      <c r="S102" s="439"/>
      <c r="T102" s="439"/>
      <c r="U102" s="439"/>
      <c r="V102" s="439"/>
      <c r="W102" s="439"/>
      <c r="X102" s="439"/>
      <c r="Y102" s="439"/>
      <c r="Z102" s="439"/>
      <c r="AA102" s="439"/>
      <c r="AB102" s="439"/>
      <c r="AC102" s="439"/>
      <c r="AD102" s="439"/>
      <c r="AE102" s="440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2:104" s="11" customFormat="1" ht="20.25" customHeight="1" x14ac:dyDescent="0.15">
      <c r="I103" s="621" t="s">
        <v>49</v>
      </c>
      <c r="J103" s="622"/>
      <c r="K103" s="628" t="str">
        <f>Ergebniseingabe!L101</f>
        <v>Offenburger FV</v>
      </c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40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2:104" s="11" customFormat="1" ht="20.25" customHeight="1" x14ac:dyDescent="0.15">
      <c r="I104" s="621" t="s">
        <v>50</v>
      </c>
      <c r="J104" s="622"/>
      <c r="K104" s="628" t="str">
        <f>Ergebniseingabe!L102</f>
        <v>FC Pfaffenweiler</v>
      </c>
      <c r="L104" s="439"/>
      <c r="M104" s="439"/>
      <c r="N104" s="439"/>
      <c r="O104" s="439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40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2:104" s="11" customFormat="1" ht="20.25" customHeight="1" x14ac:dyDescent="0.15">
      <c r="I105" s="621" t="s">
        <v>51</v>
      </c>
      <c r="J105" s="622"/>
      <c r="K105" s="628" t="str">
        <f>Ergebniseingabe!L103</f>
        <v>SF Eintracht Freiburg</v>
      </c>
      <c r="L105" s="439"/>
      <c r="M105" s="439"/>
      <c r="N105" s="439"/>
      <c r="O105" s="439"/>
      <c r="P105" s="439"/>
      <c r="Q105" s="439"/>
      <c r="R105" s="439"/>
      <c r="S105" s="439"/>
      <c r="T105" s="439"/>
      <c r="U105" s="439"/>
      <c r="V105" s="439"/>
      <c r="W105" s="439"/>
      <c r="X105" s="439"/>
      <c r="Y105" s="439"/>
      <c r="Z105" s="439"/>
      <c r="AA105" s="439"/>
      <c r="AB105" s="439"/>
      <c r="AC105" s="439"/>
      <c r="AD105" s="439"/>
      <c r="AE105" s="440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2:104" s="11" customFormat="1" ht="20.25" customHeight="1" x14ac:dyDescent="0.15">
      <c r="I106" s="621" t="s">
        <v>52</v>
      </c>
      <c r="J106" s="622"/>
      <c r="K106" s="628" t="str">
        <f>Ergebniseingabe!L104</f>
        <v>SV 08 Kuppenheim</v>
      </c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  <c r="AB106" s="439"/>
      <c r="AC106" s="439"/>
      <c r="AD106" s="439"/>
      <c r="AE106" s="440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2:104" s="11" customFormat="1" ht="20.25" customHeight="1" thickBot="1" x14ac:dyDescent="0.2">
      <c r="I107" s="625" t="s">
        <v>53</v>
      </c>
      <c r="J107" s="626"/>
      <c r="K107" s="627" t="str">
        <f>Ergebniseingabe!L105</f>
        <v>SSC Donaueschingen</v>
      </c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6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2:104" s="11" customFormat="1" ht="20.25" customHeight="1" x14ac:dyDescent="0.15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3.35" customHeight="1" x14ac:dyDescent="0.15">
      <c r="B109" s="412" t="s">
        <v>65</v>
      </c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2"/>
      <c r="AL109" s="412"/>
      <c r="AM109" s="412"/>
      <c r="AN109" s="412"/>
      <c r="AO109" s="412"/>
      <c r="AP109" s="412"/>
      <c r="AQ109" s="412"/>
      <c r="AR109" s="412"/>
      <c r="AS109" s="412"/>
      <c r="AT109" s="412"/>
      <c r="AU109" s="412"/>
      <c r="AV109" s="412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3.35" customHeight="1" x14ac:dyDescent="0.15">
      <c r="B110" s="413" t="s">
        <v>66</v>
      </c>
      <c r="C110" s="413"/>
      <c r="D110" s="413"/>
      <c r="E110" s="413"/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/>
      <c r="AE110" s="413"/>
      <c r="AF110" s="413"/>
      <c r="AG110" s="413"/>
      <c r="AH110" s="413"/>
      <c r="AI110" s="413"/>
      <c r="AJ110" s="413"/>
      <c r="AK110" s="413"/>
      <c r="AL110" s="413"/>
      <c r="AM110" s="413"/>
      <c r="AN110" s="413"/>
      <c r="AO110" s="413"/>
      <c r="AP110" s="413"/>
      <c r="AQ110" s="413"/>
      <c r="AR110" s="413"/>
      <c r="AS110" s="413"/>
      <c r="AT110" s="413"/>
      <c r="AU110" s="413"/>
      <c r="AV110" s="413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3.35" customHeight="1" x14ac:dyDescent="0.15">
      <c r="B111" s="413" t="s">
        <v>67</v>
      </c>
      <c r="C111" s="413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3"/>
      <c r="AL111" s="413"/>
      <c r="AM111" s="413"/>
      <c r="AN111" s="413"/>
      <c r="AO111" s="413"/>
      <c r="AP111" s="413"/>
      <c r="AQ111" s="413"/>
      <c r="AR111" s="413"/>
      <c r="AS111" s="413"/>
      <c r="AT111" s="413"/>
      <c r="AU111" s="413"/>
      <c r="AV111" s="413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3.35" customHeight="1" x14ac:dyDescent="0.15">
      <c r="B112" s="413" t="s">
        <v>68</v>
      </c>
      <c r="C112" s="413"/>
      <c r="D112" s="413"/>
      <c r="E112" s="413"/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  <c r="AD112" s="413"/>
      <c r="AE112" s="413"/>
      <c r="AF112" s="413"/>
      <c r="AG112" s="413"/>
      <c r="AH112" s="413"/>
      <c r="AI112" s="413"/>
      <c r="AJ112" s="413"/>
      <c r="AK112" s="413"/>
      <c r="AL112" s="413"/>
      <c r="AM112" s="413"/>
      <c r="AN112" s="413"/>
      <c r="AO112" s="413"/>
      <c r="AP112" s="413"/>
      <c r="AQ112" s="413"/>
      <c r="AR112" s="413"/>
      <c r="AS112" s="413"/>
      <c r="AT112" s="413"/>
      <c r="AU112" s="413"/>
      <c r="AV112" s="413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 x14ac:dyDescent="0.15">
      <c r="B113" s="411" t="s">
        <v>69</v>
      </c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1"/>
      <c r="AD113" s="411"/>
      <c r="AE113" s="411"/>
      <c r="AF113" s="411"/>
      <c r="AG113" s="411"/>
      <c r="AH113" s="411"/>
      <c r="AI113" s="411"/>
      <c r="AJ113" s="411"/>
      <c r="AK113" s="411"/>
      <c r="AL113" s="411"/>
      <c r="AM113" s="411"/>
      <c r="AN113" s="411"/>
      <c r="AO113" s="411"/>
      <c r="AP113" s="411"/>
      <c r="AQ113" s="411"/>
      <c r="AR113" s="411"/>
      <c r="AS113" s="411"/>
      <c r="AT113" s="411"/>
      <c r="AU113" s="411"/>
      <c r="AV113" s="411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3.35" customHeight="1" x14ac:dyDescent="0.15">
      <c r="B114" s="410" t="s">
        <v>70</v>
      </c>
      <c r="C114" s="410"/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  <c r="Q114" s="410"/>
      <c r="R114" s="410"/>
      <c r="S114" s="410"/>
      <c r="T114" s="410"/>
      <c r="U114" s="410"/>
      <c r="V114" s="410"/>
      <c r="W114" s="410"/>
      <c r="X114" s="410"/>
      <c r="Y114" s="410"/>
      <c r="Z114" s="410"/>
      <c r="AA114" s="410"/>
      <c r="AB114" s="410"/>
      <c r="AC114" s="410"/>
      <c r="AD114" s="410"/>
      <c r="AE114" s="410"/>
      <c r="AF114" s="410"/>
      <c r="AG114" s="410"/>
      <c r="AH114" s="410"/>
      <c r="AI114" s="410"/>
      <c r="AJ114" s="410"/>
      <c r="AK114" s="410"/>
      <c r="AL114" s="410"/>
      <c r="AM114" s="410"/>
      <c r="AN114" s="410"/>
      <c r="AO114" s="410"/>
      <c r="AP114" s="410"/>
      <c r="AQ114" s="410"/>
      <c r="AR114" s="410"/>
      <c r="AS114" s="410"/>
      <c r="AT114" s="410"/>
      <c r="AU114" s="410"/>
      <c r="AV114" s="410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3.35" customHeight="1" x14ac:dyDescent="0.15">
      <c r="B115" s="410" t="s">
        <v>71</v>
      </c>
      <c r="C115" s="410"/>
      <c r="D115" s="410"/>
      <c r="E115" s="410"/>
      <c r="F115" s="410"/>
      <c r="G115" s="410"/>
      <c r="H115" s="410"/>
      <c r="I115" s="410"/>
      <c r="J115" s="410"/>
      <c r="K115" s="410"/>
      <c r="L115" s="410"/>
      <c r="M115" s="410"/>
      <c r="N115" s="410"/>
      <c r="O115" s="410"/>
      <c r="P115" s="410"/>
      <c r="Q115" s="410"/>
      <c r="R115" s="410"/>
      <c r="S115" s="410"/>
      <c r="T115" s="410"/>
      <c r="U115" s="410"/>
      <c r="V115" s="410"/>
      <c r="W115" s="410"/>
      <c r="X115" s="410"/>
      <c r="Y115" s="410"/>
      <c r="Z115" s="410"/>
      <c r="AA115" s="410"/>
      <c r="AB115" s="410"/>
      <c r="AC115" s="410"/>
      <c r="AD115" s="410"/>
      <c r="AE115" s="410"/>
      <c r="AF115" s="410"/>
      <c r="AG115" s="410"/>
      <c r="AH115" s="410"/>
      <c r="AI115" s="410"/>
      <c r="AJ115" s="410"/>
      <c r="AK115" s="410"/>
      <c r="AL115" s="410"/>
      <c r="AM115" s="410"/>
      <c r="AN115" s="410"/>
      <c r="AO115" s="410"/>
      <c r="AP115" s="410"/>
      <c r="AQ115" s="410"/>
      <c r="AR115" s="410"/>
      <c r="AS115" s="410"/>
      <c r="AT115" s="410"/>
      <c r="AU115" s="410"/>
      <c r="AV115" s="410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3.35" customHeight="1" x14ac:dyDescent="0.15">
      <c r="B116" s="410" t="s">
        <v>72</v>
      </c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  <c r="T116" s="410"/>
      <c r="U116" s="410"/>
      <c r="V116" s="410"/>
      <c r="W116" s="410"/>
      <c r="X116" s="410"/>
      <c r="Y116" s="410"/>
      <c r="Z116" s="410"/>
      <c r="AA116" s="410"/>
      <c r="AB116" s="410"/>
      <c r="AC116" s="410"/>
      <c r="AD116" s="410"/>
      <c r="AE116" s="410"/>
      <c r="AF116" s="410"/>
      <c r="AG116" s="410"/>
      <c r="AH116" s="410"/>
      <c r="AI116" s="410"/>
      <c r="AJ116" s="410"/>
      <c r="AK116" s="410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  <c r="AV116" s="410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3.35" customHeight="1" x14ac:dyDescent="0.15">
      <c r="B117" s="410" t="s">
        <v>73</v>
      </c>
      <c r="C117" s="410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410"/>
      <c r="U117" s="410"/>
      <c r="V117" s="410"/>
      <c r="W117" s="410"/>
      <c r="X117" s="410"/>
      <c r="Y117" s="410"/>
      <c r="Z117" s="410"/>
      <c r="AA117" s="410"/>
      <c r="AB117" s="410"/>
      <c r="AC117" s="410"/>
      <c r="AD117" s="410"/>
      <c r="AE117" s="410"/>
      <c r="AF117" s="410"/>
      <c r="AG117" s="410"/>
      <c r="AH117" s="410"/>
      <c r="AI117" s="410"/>
      <c r="AJ117" s="410"/>
      <c r="AK117" s="410"/>
      <c r="AL117" s="410"/>
      <c r="AM117" s="410"/>
      <c r="AN117" s="410"/>
      <c r="AO117" s="410"/>
      <c r="AP117" s="410"/>
      <c r="AQ117" s="410"/>
      <c r="AR117" s="410"/>
      <c r="AS117" s="410"/>
      <c r="AT117" s="410"/>
      <c r="AU117" s="410"/>
      <c r="AV117" s="410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2:91" s="35" customFormat="1" x14ac:dyDescent="0.1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2:91" s="35" customFormat="1" hidden="1" x14ac:dyDescent="0.15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AG61:AI61"/>
    <mergeCell ref="AG60:AI60"/>
    <mergeCell ref="AG59:AI59"/>
    <mergeCell ref="AG58:AI58"/>
    <mergeCell ref="AJ58:AL58"/>
    <mergeCell ref="J58:K58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K107:AE107"/>
    <mergeCell ref="K106:AE106"/>
    <mergeCell ref="K105:AE105"/>
    <mergeCell ref="K104:AE104"/>
    <mergeCell ref="K103:AE103"/>
    <mergeCell ref="K102:AE102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AY83:BC83"/>
    <mergeCell ref="B82:C83"/>
    <mergeCell ref="D82:G83"/>
    <mergeCell ref="H85:AX85"/>
    <mergeCell ref="BD82:BG82"/>
    <mergeCell ref="BD81:BG81"/>
    <mergeCell ref="AY81:BC81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H82:AB82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H86:AB86"/>
    <mergeCell ref="AD87:AX87"/>
    <mergeCell ref="H87:AB87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D78:G79"/>
    <mergeCell ref="B94:C95"/>
    <mergeCell ref="B93:C93"/>
    <mergeCell ref="B86:C87"/>
    <mergeCell ref="H78:AB78"/>
    <mergeCell ref="B78:C79"/>
    <mergeCell ref="AD83:AX83"/>
    <mergeCell ref="H90:AB90"/>
    <mergeCell ref="H93:AX93"/>
    <mergeCell ref="AD91:AX91"/>
    <mergeCell ref="H91:AB91"/>
    <mergeCell ref="AD79:AX79"/>
    <mergeCell ref="H81:AX81"/>
    <mergeCell ref="H77:AX77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B46:E46"/>
    <mergeCell ref="B74:C75"/>
    <mergeCell ref="D73:G73"/>
    <mergeCell ref="A71:F71"/>
    <mergeCell ref="G71:J71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G34:J34"/>
    <mergeCell ref="J45:K45"/>
    <mergeCell ref="G31:J31"/>
    <mergeCell ref="K34:AE34"/>
    <mergeCell ref="B34:C34"/>
    <mergeCell ref="B33:C33"/>
    <mergeCell ref="G32:J32"/>
    <mergeCell ref="K33:AE33"/>
    <mergeCell ref="G33:J33"/>
    <mergeCell ref="J47:K47"/>
    <mergeCell ref="J46:K46"/>
    <mergeCell ref="J57:AF57"/>
    <mergeCell ref="L46:AF46"/>
    <mergeCell ref="L59:AF59"/>
    <mergeCell ref="AS60:AU60"/>
    <mergeCell ref="AP61:AR61"/>
    <mergeCell ref="AP60:AR60"/>
    <mergeCell ref="AJ61:AL61"/>
    <mergeCell ref="AJ60:AL60"/>
    <mergeCell ref="AM61:AO61"/>
    <mergeCell ref="AM60:AO60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BJ61:BL61"/>
    <mergeCell ref="BH61:BI61"/>
    <mergeCell ref="BE61:BF61"/>
    <mergeCell ref="J59:K59"/>
    <mergeCell ref="J61:K61"/>
    <mergeCell ref="J60:K60"/>
    <mergeCell ref="F60:H60"/>
    <mergeCell ref="F61:H61"/>
    <mergeCell ref="BB78:BC78"/>
    <mergeCell ref="AY77:BC77"/>
    <mergeCell ref="AY78:BA78"/>
    <mergeCell ref="AY73:BC73"/>
    <mergeCell ref="AY75:BC75"/>
    <mergeCell ref="AY74:BA74"/>
    <mergeCell ref="BB74:BC74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AS58:AU58"/>
    <mergeCell ref="AS59:AU59"/>
    <mergeCell ref="BB58:BD58"/>
    <mergeCell ref="AS61:AU61"/>
    <mergeCell ref="BB61:BD61"/>
    <mergeCell ref="AY61:BA61"/>
    <mergeCell ref="AV61:AX61"/>
    <mergeCell ref="AD75:AX75"/>
    <mergeCell ref="AV60:AX60"/>
    <mergeCell ref="AY58:BA58"/>
    <mergeCell ref="AV58:AX58"/>
    <mergeCell ref="AV59:AX59"/>
    <mergeCell ref="AY60:BA60"/>
    <mergeCell ref="BE48:BF48"/>
    <mergeCell ref="BB46:BD46"/>
    <mergeCell ref="BB57:BD57"/>
    <mergeCell ref="BB47:BD47"/>
    <mergeCell ref="BE57:BI57"/>
    <mergeCell ref="BB48:BD48"/>
    <mergeCell ref="BH48:BI48"/>
    <mergeCell ref="BH47:BI47"/>
    <mergeCell ref="BH46:BI46"/>
    <mergeCell ref="BE46:BF46"/>
    <mergeCell ref="BE47:BF47"/>
    <mergeCell ref="BJ60:BL60"/>
    <mergeCell ref="BM57:BO57"/>
    <mergeCell ref="BM58:BO58"/>
    <mergeCell ref="BM60:BO60"/>
    <mergeCell ref="BJ59:BL59"/>
    <mergeCell ref="BJ58:BL58"/>
    <mergeCell ref="BJ48:BL48"/>
    <mergeCell ref="BH58:BI58"/>
    <mergeCell ref="BE58:BF58"/>
    <mergeCell ref="BH59:BI59"/>
    <mergeCell ref="BE59:BF59"/>
    <mergeCell ref="AP45:AR45"/>
    <mergeCell ref="AM45:AO45"/>
    <mergeCell ref="AJ45:AL45"/>
    <mergeCell ref="AG45:AI45"/>
    <mergeCell ref="AS44:AU44"/>
    <mergeCell ref="AV44:AX44"/>
    <mergeCell ref="AS46:AU46"/>
    <mergeCell ref="BM48:BO48"/>
    <mergeCell ref="BJ57:BL57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M47:BO47"/>
    <mergeCell ref="BM46:BO46"/>
    <mergeCell ref="BJ47:BL47"/>
    <mergeCell ref="BJ46:BL46"/>
    <mergeCell ref="BB28:BD28"/>
    <mergeCell ref="BE30:BF30"/>
    <mergeCell ref="BE32:BF32"/>
    <mergeCell ref="BE26:BF26"/>
    <mergeCell ref="BE27:BF27"/>
    <mergeCell ref="BE28:BF28"/>
    <mergeCell ref="D32:F32"/>
    <mergeCell ref="B25:C25"/>
    <mergeCell ref="D25:F25"/>
    <mergeCell ref="B28:C28"/>
    <mergeCell ref="AG27:BA27"/>
    <mergeCell ref="AG28:BA28"/>
    <mergeCell ref="AG26:BA26"/>
    <mergeCell ref="K27:AE27"/>
    <mergeCell ref="BB25:BD25"/>
    <mergeCell ref="G28:J28"/>
    <mergeCell ref="BB27:BD27"/>
    <mergeCell ref="BB26:BD26"/>
    <mergeCell ref="K28:AE28"/>
    <mergeCell ref="BE29:BF29"/>
    <mergeCell ref="BB30:BD30"/>
    <mergeCell ref="BB29:BD29"/>
    <mergeCell ref="BE31:BF31"/>
    <mergeCell ref="AG25:BA25"/>
    <mergeCell ref="K25:AE25"/>
    <mergeCell ref="J48:K48"/>
    <mergeCell ref="AH71:AL71"/>
    <mergeCell ref="G23:J23"/>
    <mergeCell ref="D23:F23"/>
    <mergeCell ref="D24:F24"/>
    <mergeCell ref="AG32:BA32"/>
    <mergeCell ref="AG31:BA31"/>
    <mergeCell ref="AG30:BA30"/>
    <mergeCell ref="AG29:BA29"/>
    <mergeCell ref="G30:J30"/>
    <mergeCell ref="K26:AE26"/>
    <mergeCell ref="D28:F28"/>
    <mergeCell ref="G29:J29"/>
    <mergeCell ref="D29:F29"/>
    <mergeCell ref="AP37:AR44"/>
    <mergeCell ref="AY44:BA44"/>
    <mergeCell ref="L45:AF45"/>
    <mergeCell ref="AY46:BA46"/>
    <mergeCell ref="AG37:AI44"/>
    <mergeCell ref="AM37:AO44"/>
    <mergeCell ref="AJ37:AL44"/>
    <mergeCell ref="AP46:AR46"/>
    <mergeCell ref="BB22:BF22"/>
    <mergeCell ref="BB23:BD23"/>
    <mergeCell ref="BB24:BD24"/>
    <mergeCell ref="BE25:BF25"/>
    <mergeCell ref="BE23:BF23"/>
    <mergeCell ref="H79:AB79"/>
    <mergeCell ref="H75:AB75"/>
    <mergeCell ref="AB71:AG71"/>
    <mergeCell ref="BE24:BF24"/>
    <mergeCell ref="BB44:BD44"/>
    <mergeCell ref="BE34:BF34"/>
    <mergeCell ref="BE33:BF33"/>
    <mergeCell ref="BB34:BD34"/>
    <mergeCell ref="AS45:AU45"/>
    <mergeCell ref="AV45:AX45"/>
    <mergeCell ref="AY45:BA45"/>
    <mergeCell ref="BB31:BD31"/>
    <mergeCell ref="AG34:BA34"/>
    <mergeCell ref="BB32:BD32"/>
    <mergeCell ref="BB45:BD45"/>
    <mergeCell ref="AG33:BA33"/>
    <mergeCell ref="BB33:BD33"/>
    <mergeCell ref="W71:AA71"/>
    <mergeCell ref="AG24:BA24"/>
    <mergeCell ref="AB18:AV18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7:AV17"/>
    <mergeCell ref="B77:C77"/>
    <mergeCell ref="AG23:BA23"/>
    <mergeCell ref="B2:AT2"/>
    <mergeCell ref="B6:AT6"/>
    <mergeCell ref="AD78:AX78"/>
    <mergeCell ref="AD74:AX74"/>
    <mergeCell ref="B22:C22"/>
    <mergeCell ref="D22:F22"/>
    <mergeCell ref="B24:C24"/>
    <mergeCell ref="K23:AE23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M71:AU71"/>
    <mergeCell ref="B73:C73"/>
    <mergeCell ref="AV71:AZ71"/>
    <mergeCell ref="H74:AB74"/>
    <mergeCell ref="D77:G77"/>
    <mergeCell ref="T71:U71"/>
  </mergeCells>
  <phoneticPr fontId="2" type="noConversion"/>
  <conditionalFormatting sqref="H78 H90 H94 H74 H86 H82 K23:K34">
    <cfRule type="expression" dxfId="37" priority="1" stopIfTrue="1">
      <formula>AND(AY23&gt;BB23,AY23&lt;&gt;"",BB23&lt;&gt;"")</formula>
    </cfRule>
    <cfRule type="expression" dxfId="36" priority="2" stopIfTrue="1">
      <formula>AND(AY23=BB23,AY23&lt;&gt;"",BB23&lt;&gt;"")</formula>
    </cfRule>
    <cfRule type="expression" dxfId="35" priority="3" stopIfTrue="1">
      <formula>AND(AY23&lt;BB23,AY23&lt;&gt;"",BB23&lt;&gt;"")</formula>
    </cfRule>
  </conditionalFormatting>
  <conditionalFormatting sqref="AD78 AD90 AD94 AD74 AD86 AD82 AG23:AG34">
    <cfRule type="expression" dxfId="34" priority="4" stopIfTrue="1">
      <formula>AND(BB23&gt;AY23,AY23&lt;&gt;"",BB23&lt;&gt;"")</formula>
    </cfRule>
    <cfRule type="expression" dxfId="33" priority="5" stopIfTrue="1">
      <formula>AND(BB23=AY23,AY23&lt;&gt;"",BB23&lt;&gt;"")</formula>
    </cfRule>
    <cfRule type="expression" dxfId="32" priority="6" stopIfTrue="1">
      <formula>AND(BB23&lt;AY23,AY23&lt;&gt;"",BB23&lt;&gt;"")</formula>
    </cfRule>
  </conditionalFormatting>
  <conditionalFormatting sqref="AG49:AR49 AS49:BO55 AG48:BO48 L49:AF55">
    <cfRule type="expression" dxfId="31" priority="7" stopIfTrue="1">
      <formula>$J$48=""</formula>
    </cfRule>
  </conditionalFormatting>
  <conditionalFormatting sqref="AG45:BO45">
    <cfRule type="expression" dxfId="30" priority="8" stopIfTrue="1">
      <formula>$J$46=""</formula>
    </cfRule>
  </conditionalFormatting>
  <conditionalFormatting sqref="AG46:BO46">
    <cfRule type="expression" dxfId="29" priority="9" stopIfTrue="1">
      <formula>$J$46=""</formula>
    </cfRule>
    <cfRule type="expression" dxfId="28" priority="10" stopIfTrue="1">
      <formula>$J$47=""</formula>
    </cfRule>
  </conditionalFormatting>
  <conditionalFormatting sqref="AG47:BO47">
    <cfRule type="expression" dxfId="27" priority="11" stopIfTrue="1">
      <formula>$J$47=""</formula>
    </cfRule>
    <cfRule type="expression" dxfId="26" priority="12" stopIfTrue="1">
      <formula>$J$48=""</formula>
    </cfRule>
  </conditionalFormatting>
  <conditionalFormatting sqref="AG58:BO58">
    <cfRule type="expression" dxfId="25" priority="13" stopIfTrue="1">
      <formula>$J$59=""</formula>
    </cfRule>
  </conditionalFormatting>
  <conditionalFormatting sqref="AG59:BO59">
    <cfRule type="expression" dxfId="24" priority="14" stopIfTrue="1">
      <formula>$J$59=""</formula>
    </cfRule>
    <cfRule type="expression" dxfId="23" priority="15" stopIfTrue="1">
      <formula>$J$60=""</formula>
    </cfRule>
  </conditionalFormatting>
  <conditionalFormatting sqref="AG60:BO60">
    <cfRule type="expression" dxfId="22" priority="16" stopIfTrue="1">
      <formula>$J$60=""</formula>
    </cfRule>
    <cfRule type="expression" dxfId="21" priority="17" stopIfTrue="1">
      <formula>$J$61=""</formula>
    </cfRule>
  </conditionalFormatting>
  <conditionalFormatting sqref="AG61:BO61">
    <cfRule type="expression" dxfId="20" priority="18" stopIfTrue="1">
      <formula>$J$61=""</formula>
    </cfRule>
  </conditionalFormatting>
  <conditionalFormatting sqref="L45">
    <cfRule type="expression" dxfId="19" priority="19" stopIfTrue="1">
      <formula>$AS$45=""</formula>
    </cfRule>
    <cfRule type="expression" dxfId="18" priority="20" stopIfTrue="1">
      <formula>$J$46=""</formula>
    </cfRule>
  </conditionalFormatting>
  <conditionalFormatting sqref="L46">
    <cfRule type="expression" dxfId="17" priority="21" stopIfTrue="1">
      <formula>$AS$46=""</formula>
    </cfRule>
    <cfRule type="expression" dxfId="16" priority="22" stopIfTrue="1">
      <formula>$J$46=""</formula>
    </cfRule>
    <cfRule type="expression" dxfId="15" priority="23" stopIfTrue="1">
      <formula>$J$47=""</formula>
    </cfRule>
  </conditionalFormatting>
  <conditionalFormatting sqref="L47">
    <cfRule type="expression" dxfId="14" priority="24" stopIfTrue="1">
      <formula>$AS$47=""</formula>
    </cfRule>
    <cfRule type="expression" dxfId="13" priority="25" stopIfTrue="1">
      <formula>$J$47=""</formula>
    </cfRule>
    <cfRule type="expression" dxfId="12" priority="26" stopIfTrue="1">
      <formula>$J$48=""</formula>
    </cfRule>
  </conditionalFormatting>
  <conditionalFormatting sqref="L48">
    <cfRule type="expression" dxfId="11" priority="27" stopIfTrue="1">
      <formula>$AS$48=""</formula>
    </cfRule>
    <cfRule type="expression" dxfId="10" priority="28" stopIfTrue="1">
      <formula>$J$48=""</formula>
    </cfRule>
  </conditionalFormatting>
  <conditionalFormatting sqref="L58">
    <cfRule type="expression" dxfId="9" priority="29" stopIfTrue="1">
      <formula>$AS$58=""</formula>
    </cfRule>
    <cfRule type="expression" dxfId="8" priority="30" stopIfTrue="1">
      <formula>$J$59=""</formula>
    </cfRule>
  </conditionalFormatting>
  <conditionalFormatting sqref="L59">
    <cfRule type="expression" dxfId="7" priority="31" stopIfTrue="1">
      <formula>$AS$59=""</formula>
    </cfRule>
    <cfRule type="expression" dxfId="6" priority="32" stopIfTrue="1">
      <formula>$J$59=""</formula>
    </cfRule>
    <cfRule type="expression" dxfId="5" priority="33" stopIfTrue="1">
      <formula>$J$60=""</formula>
    </cfRule>
  </conditionalFormatting>
  <conditionalFormatting sqref="L60">
    <cfRule type="expression" dxfId="4" priority="34" stopIfTrue="1">
      <formula>$AS$60=""</formula>
    </cfRule>
    <cfRule type="expression" dxfId="3" priority="35" stopIfTrue="1">
      <formula>$J$60=""</formula>
    </cfRule>
    <cfRule type="expression" dxfId="2" priority="36" stopIfTrue="1">
      <formula>$J$61=""</formula>
    </cfRule>
  </conditionalFormatting>
  <conditionalFormatting sqref="L61">
    <cfRule type="expression" dxfId="1" priority="37" stopIfTrue="1">
      <formula>$AS$61=""</formula>
    </cfRule>
    <cfRule type="expression" dxfId="0" priority="38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 xr:uid="{BF1BAC34-D23A-4F53-BA6D-38C7814488C9}">
      <formula1>0</formula1>
    </dataValidation>
    <dataValidation type="whole" allowBlank="1" showErrorMessage="1" errorTitle="Zahlen" error="Nur Zahleneingabe möglich" sqref="AY95 AY91 AY75 AY79:AY80 AY87:AY88 AY83" xr:uid="{20D81521-0B23-490D-B46C-70678E5B0791}">
      <formula1>0</formula1>
      <formula2>100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portrait" horizontalDpi="300" verticalDpi="300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FA48-01E8-48EA-BB8A-28192DAB9AE0}">
  <sheetPr codeName="Tabelle3"/>
  <dimension ref="B2:CH56"/>
  <sheetViews>
    <sheetView workbookViewId="0"/>
  </sheetViews>
  <sheetFormatPr defaultRowHeight="12.75" x14ac:dyDescent="0.15"/>
  <cols>
    <col min="1" max="2" width="2.828125" bestFit="1" customWidth="1"/>
    <col min="3" max="3" width="1.88671875" bestFit="1" customWidth="1"/>
    <col min="4" max="4" width="24.54296875" bestFit="1" customWidth="1"/>
    <col min="5" max="6" width="12.5390625" bestFit="1" customWidth="1"/>
    <col min="7" max="8" width="3.37109375" bestFit="1" customWidth="1"/>
    <col min="9" max="9" width="6.47265625" bestFit="1" customWidth="1"/>
    <col min="10" max="10" width="3.7734375" bestFit="1" customWidth="1"/>
    <col min="11" max="11" width="11.4609375" customWidth="1"/>
    <col min="12" max="12" width="5.66015625" bestFit="1" customWidth="1"/>
    <col min="13" max="15" width="2.828125" bestFit="1" customWidth="1"/>
    <col min="16" max="16" width="11.4609375" customWidth="1"/>
    <col min="17" max="17" width="12.5390625" bestFit="1" customWidth="1"/>
    <col min="18" max="21" width="2.96484375" bestFit="1" customWidth="1"/>
    <col min="22" max="22" width="11.4609375" customWidth="1"/>
    <col min="23" max="23" width="12.5390625" bestFit="1" customWidth="1"/>
    <col min="24" max="27" width="2.96484375" bestFit="1" customWidth="1"/>
    <col min="28" max="28" width="11.4609375" customWidth="1"/>
    <col min="29" max="29" width="17.125" bestFit="1" customWidth="1"/>
    <col min="30" max="30" width="1.88671875" bestFit="1" customWidth="1"/>
    <col min="31" max="31" width="1.6171875" bestFit="1" customWidth="1"/>
    <col min="32" max="32" width="11.4609375" customWidth="1"/>
    <col min="33" max="34" width="1.88671875" bestFit="1" customWidth="1"/>
    <col min="35" max="35" width="3.37109375" bestFit="1" customWidth="1"/>
    <col min="36" max="36" width="11.4609375" customWidth="1"/>
    <col min="37" max="37" width="1.88671875" bestFit="1" customWidth="1"/>
    <col min="38" max="40" width="2.96484375" bestFit="1" customWidth="1"/>
    <col min="41" max="41" width="7.4140625" bestFit="1" customWidth="1"/>
    <col min="42" max="42" width="11.4609375" customWidth="1"/>
    <col min="43" max="43" width="1.88671875" bestFit="1" customWidth="1"/>
    <col min="44" max="46" width="2.96484375" bestFit="1" customWidth="1"/>
    <col min="47" max="47" width="11.4609375" customWidth="1"/>
    <col min="48" max="48" width="4.1796875" bestFit="1" customWidth="1"/>
    <col min="49" max="51" width="2.96484375" bestFit="1" customWidth="1"/>
    <col min="52" max="256" width="11.4609375" customWidth="1"/>
  </cols>
  <sheetData>
    <row r="2" spans="2:86" s="36" customFormat="1" x14ac:dyDescent="0.1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2:86" s="36" customFormat="1" x14ac:dyDescent="0.1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03.5" x14ac:dyDescent="0.1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SSC Donaueschingen</v>
      </c>
      <c r="S4" s="163" t="str">
        <f>Q6</f>
        <v>FC Pfaffenweiler</v>
      </c>
      <c r="T4" s="163" t="str">
        <f>Q7</f>
        <v>Offenburger FV</v>
      </c>
      <c r="U4" s="163" t="str">
        <f>Q8</f>
        <v>FV Lörrach-Brombach</v>
      </c>
      <c r="V4" s="164"/>
      <c r="W4" s="162" t="s">
        <v>55</v>
      </c>
      <c r="X4" s="163" t="str">
        <f>W5</f>
        <v>SSC Donaueschingen</v>
      </c>
      <c r="Y4" s="163" t="str">
        <f>W6</f>
        <v>FC Pfaffenweiler</v>
      </c>
      <c r="Z4" s="163" t="str">
        <f>W7</f>
        <v>Offenburger FV</v>
      </c>
      <c r="AA4" s="163" t="str">
        <f>W8</f>
        <v>FV Lörrach-Brombach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x14ac:dyDescent="0.15">
      <c r="B5" s="43">
        <v>1</v>
      </c>
      <c r="C5" s="151">
        <f>RANK(D5,$D$5:$D$8,1)</f>
        <v>4</v>
      </c>
      <c r="D5" s="151">
        <f>E5+ROW()/1000</f>
        <v>4.0049999999999999</v>
      </c>
      <c r="E5" s="151">
        <f>RANK(K5,$K$5:$K$8)</f>
        <v>4</v>
      </c>
      <c r="F5" s="43" t="str">
        <f>VLOOKUP(B5,Ergebniseingabe!$C$19:$X$22,2,0)</f>
        <v>SSC Donaueschingen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1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2</v>
      </c>
      <c r="J5" s="40">
        <f>G5-H5</f>
        <v>-1</v>
      </c>
      <c r="K5" s="190">
        <f>AC5+AI5+AO5</f>
        <v>199000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2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1</v>
      </c>
      <c r="Q5" s="172" t="str">
        <f>$F$5</f>
        <v>SSC Donaueschingen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SSC Donaueschingen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0</v>
      </c>
      <c r="AB5" s="164"/>
      <c r="AC5" s="175">
        <f>I5*100000+J5*1000+G5</f>
        <v>199000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 ca="1">I5-INDEX(X5:AA5,1,$AK$4)-AR5-AW5</f>
        <v>0</v>
      </c>
      <c r="AM5" s="168">
        <f ca="1">J5-INDEX(R5:U5,1,AK4)-INDEX(R5:R8,AK4,1)-ABS(AS5)-ABS(AX5)</f>
        <v>-1</v>
      </c>
      <c r="AN5" s="168">
        <f ca="1">G5-INDEX(R5:U5,1,$AK$4)-AT5-AY5</f>
        <v>0</v>
      </c>
      <c r="AO5" s="179">
        <f>IF(OR($AD$9&lt;&gt;3,AE5="x"),0,AL5/10+AM5/1000+AN5/100000)</f>
        <v>0</v>
      </c>
      <c r="AP5" s="167"/>
      <c r="AQ5" s="180"/>
      <c r="AR5" s="168">
        <f ca="1">IF(ISNA($AQ$4),0,INDEX(X5:AA5,1,$AQ$4))</f>
        <v>1</v>
      </c>
      <c r="AS5" s="168">
        <f ca="1">IF(ISNA($AQ$4),0,(INDEX(R5:U5,1,AQ4)-INDEX(R5:R8,AQ4,1)))</f>
        <v>0</v>
      </c>
      <c r="AT5" s="168">
        <f ca="1">IF(ISNA($AQ$4),0,INDEX(R5:U5,1,$AQ$4))</f>
        <v>0</v>
      </c>
      <c r="AU5" s="166"/>
      <c r="AV5" s="180"/>
      <c r="AW5" s="168">
        <f ca="1">IF(ISNA($AV$4),0,INDEX(X5:AA5,1,$AV$4))</f>
        <v>1</v>
      </c>
      <c r="AX5" s="168">
        <f ca="1">IF(ISNA($AV$4),0,(INDEX(R5:U5,1,AV4)-INDEX(R5:R8,AV4,1)))</f>
        <v>0</v>
      </c>
      <c r="AY5" s="168">
        <f ca="1"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x14ac:dyDescent="0.15">
      <c r="B6" s="43">
        <v>2</v>
      </c>
      <c r="C6" s="151">
        <f>RANK(D6,$D$5:$D$8,1)</f>
        <v>3</v>
      </c>
      <c r="D6" s="151">
        <f>E6+ROW()/1000</f>
        <v>3.0059999999999998</v>
      </c>
      <c r="E6" s="151">
        <f>RANK(K6,$K$5:$K$8)</f>
        <v>3</v>
      </c>
      <c r="F6" s="43" t="str">
        <f>VLOOKUP(B6,Ergebniseingabe!$C$19:$X$22,2,0)</f>
        <v>FC Pfaffenweiler</v>
      </c>
      <c r="G6" s="39">
        <f>SUMPRODUCT((F6=Ergebniseingabe!$L$27:$AF$38)*(Ergebniseingabe!$BC$27:$BC$38))+SUMPRODUCT((F6=Ergebniseingabe!$AH$27:$BB$38)*(Ergebniseingabe!$BF$27:$BF$38))</f>
        <v>1</v>
      </c>
      <c r="H6" s="39">
        <f>SUMPRODUCT((F6=Ergebniseingabe!$L$27:$AF$38)*(Ergebniseingabe!$BF$27:$BF$38))+SUMPRODUCT((F6=Ergebniseingabe!$AH$27:$BB$38)*(Ergebniseingabe!$BC$27:$BC$38))</f>
        <v>2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2</v>
      </c>
      <c r="J6" s="40">
        <f>G6-H6</f>
        <v>-1</v>
      </c>
      <c r="K6" s="190">
        <f>AC6+AI6+AO6</f>
        <v>199001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2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1</v>
      </c>
      <c r="Q6" s="172" t="str">
        <f>$F$6</f>
        <v>FC Pfaffenweiler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FC Pfaffenweiler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0</v>
      </c>
      <c r="AB6" s="164"/>
      <c r="AC6" s="175">
        <f>I6*100000+J6*1000+G6</f>
        <v>199001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 ca="1">I6-INDEX(X6:AA6,1,$AK$4)-AR6-AW6</f>
        <v>0</v>
      </c>
      <c r="AM6" s="168">
        <f ca="1">J6-INDEX(R6:U6,1,AK4)-INDEX(S5:S8,AK4,1)-ABS(AS6)-ABS(AX6)</f>
        <v>-1</v>
      </c>
      <c r="AN6" s="168">
        <f ca="1">G6-INDEX(R6:U6,1,$AK$4)-AT6-AY6</f>
        <v>1</v>
      </c>
      <c r="AO6" s="179">
        <f>IF(OR($AD$9&lt;&gt;3,AE6="x"),0,AL6/10+AM6/1000+AN6/100000)</f>
        <v>0</v>
      </c>
      <c r="AP6" s="167"/>
      <c r="AQ6" s="180"/>
      <c r="AR6" s="168">
        <f ca="1">IF(ISNA($AQ$4),0,INDEX(X6:AA6,1,$AQ$4))</f>
        <v>0</v>
      </c>
      <c r="AS6" s="168">
        <f ca="1">IF(ISNA($AQ$4),0,(INDEX(R6:U6,1,AQ4)-INDEX(S5:S8,AQ4,1)))</f>
        <v>0</v>
      </c>
      <c r="AT6" s="168">
        <f ca="1">IF(ISNA($AQ$4),0,INDEX(R6:U6,1,$AQ$4))</f>
        <v>0</v>
      </c>
      <c r="AU6" s="166"/>
      <c r="AV6" s="180"/>
      <c r="AW6" s="168">
        <f ca="1">IF(ISNA($AV$4),0,INDEX(X6:AA6,1,$AV$4))</f>
        <v>1</v>
      </c>
      <c r="AX6" s="168">
        <f ca="1">IF(ISNA($AV$4),0,(INDEX(R6:U6,1,AV4)-INDEX(S5:S8,AV4,1)))</f>
        <v>0</v>
      </c>
      <c r="AY6" s="168">
        <f ca="1"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x14ac:dyDescent="0.15">
      <c r="B7" s="43">
        <v>3</v>
      </c>
      <c r="C7" s="151">
        <f>RANK(D7,$D$5:$D$8,1)</f>
        <v>2</v>
      </c>
      <c r="D7" s="151">
        <f>E7+ROW()/1000</f>
        <v>2.0070000000000001</v>
      </c>
      <c r="E7" s="151">
        <f>RANK(K7,$K$5:$K$8)</f>
        <v>2</v>
      </c>
      <c r="F7" s="43" t="str">
        <f>VLOOKUP(B7,Ergebniseingabe!$C$19:$X$22,2,0)</f>
        <v>Offenburger FV</v>
      </c>
      <c r="G7" s="39">
        <f>SUMPRODUCT((F7=Ergebniseingabe!$L$27:$AF$38)*(Ergebniseingabe!$BC$27:$BC$38))+SUMPRODUCT((F7=Ergebniseingabe!$AH$27:$BB$38)*(Ergebniseingabe!$BF$27:$BF$38))</f>
        <v>4</v>
      </c>
      <c r="H7" s="39">
        <f>SUMPRODUCT((F7=Ergebniseingabe!$L$27:$AF$38)*(Ergebniseingabe!$BF$27:$BF$38))+SUMPRODUCT((F7=Ergebniseingabe!$AH$27:$BB$38)*(Ergebniseingabe!$BC$27:$BC$38))</f>
        <v>1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5</v>
      </c>
      <c r="J7" s="40">
        <f>G7-H7</f>
        <v>3</v>
      </c>
      <c r="K7" s="190">
        <f>AC7+AI7+AO7</f>
        <v>503004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1</v>
      </c>
      <c r="N7" s="39">
        <f>SUMPRODUCT((Ergebniseingabe!$L$27:$BB$38=F7)*(Ergebniseingabe!$BC$27:$BC$38=Ergebniseingabe!$BF$27:$BF$38)*(Ergebniseingabe!$BC$27:$BC$38&lt;&gt;"")*(Ergebniseingabe!$BF$27:$BF$38&lt;&gt;""))</f>
        <v>2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Offenburger FV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3</v>
      </c>
      <c r="V7" s="164"/>
      <c r="W7" s="181" t="str">
        <f>Q7</f>
        <v>Offenburger FV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3</v>
      </c>
      <c r="AB7" s="164"/>
      <c r="AC7" s="175">
        <f>I7*100000+J7*1000+G7</f>
        <v>503004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 ca="1">I7-INDEX(X7:AA7,1,$AK$4)-AR7-AW7</f>
        <v>3</v>
      </c>
      <c r="AM7" s="168">
        <f ca="1">J7-INDEX(R7:U7,1,AK4)-INDEX(T5:T8,AK4,1)-ABS(AS7)-ABS(AX7)</f>
        <v>3</v>
      </c>
      <c r="AN7" s="168">
        <f ca="1">G7-INDEX(R7:U7,1,$AK$4)-AT7-AY7</f>
        <v>4</v>
      </c>
      <c r="AO7" s="179">
        <f>IF(OR($AD$9&lt;&gt;3,AE7="x"),0,AL7/10+AM7/1000+AN7/100000)</f>
        <v>0</v>
      </c>
      <c r="AP7" s="167"/>
      <c r="AQ7" s="180"/>
      <c r="AR7" s="168">
        <f ca="1">IF(ISNA($AQ$4),0,INDEX(X7:AA7,1,$AQ$4))</f>
        <v>1</v>
      </c>
      <c r="AS7" s="168">
        <f ca="1">IF(ISNA($AQ$4),0,(INDEX(R7:U7,1,AQ4)-INDEX(T5:T8,AQ4,1)))</f>
        <v>0</v>
      </c>
      <c r="AT7" s="168">
        <f ca="1">IF(ISNA($AQ$4),0,INDEX(R7:U7,1,$AQ$4))</f>
        <v>0</v>
      </c>
      <c r="AU7" s="166"/>
      <c r="AV7" s="180"/>
      <c r="AW7" s="168">
        <f ca="1">IF(ISNA($AV$4),0,INDEX(X7:AA7,1,$AV$4))</f>
        <v>0</v>
      </c>
      <c r="AX7" s="168">
        <f ca="1">IF(ISNA($AV$4),0,(INDEX(R7:U7,1,AV4)-INDEX(T5:T8,AV4,1)))</f>
        <v>0</v>
      </c>
      <c r="AY7" s="168">
        <f ca="1"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x14ac:dyDescent="0.15">
      <c r="B8" s="43">
        <v>4</v>
      </c>
      <c r="C8" s="151">
        <f>RANK(D8,$D$5:$D$8,1)</f>
        <v>1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FV Lörrach-Brombach</v>
      </c>
      <c r="G8" s="39">
        <f>SUMPRODUCT((F8=Ergebniseingabe!$L$27:$AF$38)*(Ergebniseingabe!$BC$27:$BC$38))+SUMPRODUCT((F8=Ergebniseingabe!$AH$27:$BB$38)*(Ergebniseingabe!$BF$27:$BF$38))</f>
        <v>2</v>
      </c>
      <c r="H8" s="39">
        <f>SUMPRODUCT((F8=Ergebniseingabe!$L$27:$AF$38)*(Ergebniseingabe!$BF$27:$BF$38))+SUMPRODUCT((F8=Ergebniseingabe!$AH$27:$BB$38)*(Ergebniseingabe!$BC$27:$BC$38))</f>
        <v>3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6</v>
      </c>
      <c r="J8" s="40">
        <f>G8-H8</f>
        <v>-1</v>
      </c>
      <c r="K8" s="190">
        <f>AC8+AI8+AO8</f>
        <v>599002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2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1</v>
      </c>
      <c r="Q8" s="184" t="str">
        <f>$F$8</f>
        <v>FV Lörrach-Brombach</v>
      </c>
      <c r="R8" s="174">
        <f>IF(AND(Q8&amp;$R$4=VLOOKUP(Q8&amp;$R$4,$D$23:$I$46,1,0),VLOOKUP(Q8&amp;$R$4,$D$23:$I$46,6,0)&lt;&gt;""),VLOOKUP(Q8&amp;$R$4,$D$23:$I$46,6,0),)</f>
        <v>1</v>
      </c>
      <c r="S8" s="174">
        <f>IF(AND(Q8&amp;$S$4=VLOOKUP(Q8&amp;$S$4,$D$23:$I$46,1,0),VLOOKUP(Q8&amp;$S$4,$D$23:$I$46,6,0)&lt;&gt;""),VLOOKUP(Q8&amp;$S$4,$D$23:$I$46,6,0),)</f>
        <v>1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FV Lörrach-Brombach</v>
      </c>
      <c r="X8" s="174">
        <f>IF(AND(ISNUMBER(R8),ISNUMBER(U5)),IF(R8&gt;U5,3,IF(R8=U5,1,0)),0)</f>
        <v>3</v>
      </c>
      <c r="Y8" s="174">
        <f>IF(AND(ISNUMBER(S8),ISNUMBER(U6)),IF(S8&gt;U6,3,IF(S8=U6,1,0)),0)</f>
        <v>3</v>
      </c>
      <c r="Z8" s="174">
        <f>IF(AND(ISNUMBER(T8),ISNUMBER(U7)),IF(T8&gt;U7,3,IF(T8=U7,1,0)),0)</f>
        <v>0</v>
      </c>
      <c r="AA8" s="173"/>
      <c r="AB8" s="164"/>
      <c r="AC8" s="175">
        <f>I8*100000+J8*1000+G8</f>
        <v>599002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 ca="1">I8-INDEX(X8:AA8,1,$AK$4)-AR8-AW8</f>
        <v>0</v>
      </c>
      <c r="AM8" s="168">
        <f ca="1">J8-INDEX(R8:U8,1,AK4)-INDEX(U5:U8,AK4,1)-ABS(AS8)-ABS(AX8)</f>
        <v>-6</v>
      </c>
      <c r="AN8" s="168">
        <f ca="1"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 ca="1">IF(ISNA($AQ$4),0,INDEX(X8:AA8,1,$AQ$4))</f>
        <v>3</v>
      </c>
      <c r="AS8" s="168">
        <f ca="1">IF(ISNA($AQ$4),0,(INDEX(R8:U8,1,AQ4)-INDEX(U5:U8,AQ4,1)))</f>
        <v>1</v>
      </c>
      <c r="AT8" s="168">
        <f ca="1">IF(ISNA($AQ$4),0,INDEX(R8:U8,1,$AQ$4))</f>
        <v>1</v>
      </c>
      <c r="AU8" s="166"/>
      <c r="AV8" s="180"/>
      <c r="AW8" s="168">
        <f ca="1">IF(ISNA($AV$4),0,INDEX(X8:AA8,1,$AV$4))</f>
        <v>0</v>
      </c>
      <c r="AX8" s="168">
        <f ca="1">IF(ISNA($AV$4),0,(INDEX(R8:U8,1,AV4)-INDEX(U5:U8,AV4,1)))</f>
        <v>-3</v>
      </c>
      <c r="AY8" s="168">
        <f ca="1"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.75" x14ac:dyDescent="0.15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x14ac:dyDescent="0.1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x14ac:dyDescent="0.1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x14ac:dyDescent="0.1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 x14ac:dyDescent="0.15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FC 08 Villingen</v>
      </c>
      <c r="S13" s="163" t="str">
        <f>Q15</f>
        <v>SF Eintracht Freiburg</v>
      </c>
      <c r="T13" s="163" t="str">
        <f>Q16</f>
        <v>SV 08 Kuppenheim</v>
      </c>
      <c r="U13" s="163" t="str">
        <f>Q17</f>
        <v>SC Pfullendorf</v>
      </c>
      <c r="V13" s="164"/>
      <c r="W13" s="162" t="s">
        <v>55</v>
      </c>
      <c r="X13" s="163" t="str">
        <f>W14</f>
        <v>FC 08 Villingen</v>
      </c>
      <c r="Y13" s="163" t="str">
        <f>W15</f>
        <v>SF Eintracht Freiburg</v>
      </c>
      <c r="Z13" s="163" t="str">
        <f>W16</f>
        <v>SV 08 Kuppenheim</v>
      </c>
      <c r="AA13" s="163" t="str">
        <f>W17</f>
        <v>SC Pfullendorf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x14ac:dyDescent="0.1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FC 08 Villingen</v>
      </c>
      <c r="G14" s="39">
        <f>SUMPRODUCT((F14=Ergebniseingabe!$L$27:$AF$38)*(Ergebniseingabe!$BC$27:$BC$38))+SUMPRODUCT((F14=Ergebniseingabe!$AH$27:$BB$38)*(Ergebniseingabe!$BF$27:$BF$38))</f>
        <v>4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7</v>
      </c>
      <c r="J14" s="40">
        <f>G14-H14</f>
        <v>4</v>
      </c>
      <c r="K14" s="190">
        <f>AC14+AI14+AO14</f>
        <v>704004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2</v>
      </c>
      <c r="N14" s="39">
        <f>SUMPRODUCT((Ergebniseingabe!$L$27:$BB$38=F14)*(Ergebniseingabe!$BC$27:$BC$38=Ergebniseingabe!$BF$27:$BF$38)*(Ergebniseingabe!$BC$27:$BC$38&lt;&gt;"")*(Ergebniseingabe!$BF$27:$BF$38&lt;&gt;""))</f>
        <v>1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FC 08 Villingen</v>
      </c>
      <c r="R14" s="173"/>
      <c r="S14" s="174">
        <f>IF(AND(Q14&amp;$S$13=VLOOKUP(Q14&amp;$S$13,$D$23:$I$46,1,0),VLOOKUP(Q14&amp;$S$13,$D$23:$I$46,6,0)&lt;&gt;""),VLOOKUP(Q14&amp;$S$13,$D$23:$I$46,6,0),)</f>
        <v>3</v>
      </c>
      <c r="T14" s="174">
        <f>IF(AND(Q14&amp;$T$13=VLOOKUP(Q14&amp;$T$13,$D$23:$I$46,1,0),VLOOKUP(Q14&amp;$T$13,$D$23:$I$46,6,0)&lt;&gt;""),VLOOKUP(Q14&amp;$T$13,$D$23:$I$46,6,0),)</f>
        <v>1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FC 08 Villingen</v>
      </c>
      <c r="X14" s="173"/>
      <c r="Y14" s="174">
        <f>IF(AND(ISNUMBER(S14),ISNUMBER(R15)),IF(S14&gt;R15,3,IF(S14=R15,1,0)),0)</f>
        <v>3</v>
      </c>
      <c r="Z14" s="174">
        <f>IF(AND(ISNUMBER(T14),ISNUMBER(R16)),IF(T14&gt;R16,3,IF(T14=R16,1,0)),0)</f>
        <v>3</v>
      </c>
      <c r="AA14" s="174">
        <f>IF(AND(ISNUMBER(U14),ISNUMBER(R17)),IF(U14&gt;R17,3,IF(U14=R17,1,0)),0)</f>
        <v>1</v>
      </c>
      <c r="AB14" s="164"/>
      <c r="AC14" s="175">
        <f>I14*100000+J14*1000+G14</f>
        <v>704004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 ca="1">I14-INDEX(X14:AA14,1,$AK$13)-AR14-AW14</f>
        <v>1</v>
      </c>
      <c r="AM14" s="168">
        <f ca="1">J14-INDEX(R14:U14,1,AK13)-INDEX(R14:R17,AK13,1)-ABS(AS14)-ABS(AX14)</f>
        <v>0</v>
      </c>
      <c r="AN14" s="168">
        <f ca="1">G14-INDEX(R14:U14,1,$AK$13)-AT14-AY14</f>
        <v>0</v>
      </c>
      <c r="AO14" s="179">
        <f>IF(OR($AD$18&lt;&gt;3,AE14="x"),0,AL14/10+AM14/1000+AN14/100000)</f>
        <v>0</v>
      </c>
      <c r="AP14" s="167"/>
      <c r="AQ14" s="180"/>
      <c r="AR14" s="168">
        <f ca="1">IF(ISNA($AQ$13),0,INDEX(X14:AA14,1,$AQ$13))</f>
        <v>3</v>
      </c>
      <c r="AS14" s="168">
        <f ca="1">IF(ISNA($AQ$13),0,(INDEX(R14:U14,1,$AQ$13)-INDEX(R14:R17,$AQ$13,1)))</f>
        <v>3</v>
      </c>
      <c r="AT14" s="168">
        <f ca="1">IF(ISNA($AQ$13),0,INDEX(R14:U14,1,$AQ$13))</f>
        <v>3</v>
      </c>
      <c r="AU14" s="166"/>
      <c r="AV14" s="180"/>
      <c r="AW14" s="168">
        <f ca="1">IF(ISNA($AV$13),0,INDEX(X14:AA14,1,$AV$13))</f>
        <v>3</v>
      </c>
      <c r="AX14" s="168">
        <f ca="1">IF(ISNA($AV$13),0,(INDEX(R14:U14,1,$AV$13)-INDEX(R14:R17,$AV$13,1)))</f>
        <v>1</v>
      </c>
      <c r="AY14" s="168">
        <f ca="1">IF(ISNA($AV$13),0,INDEX(R14:U14,1,$AV$13))</f>
        <v>1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x14ac:dyDescent="0.15">
      <c r="B15" s="43">
        <v>2</v>
      </c>
      <c r="C15" s="151">
        <f>RANK(D15,$D$14:$D$17,1)</f>
        <v>3</v>
      </c>
      <c r="D15" s="151">
        <f>E15+ROW()/1000</f>
        <v>3.0150000000000001</v>
      </c>
      <c r="E15" s="151">
        <f>RANK(K15,$K$14:$K$17)</f>
        <v>3</v>
      </c>
      <c r="F15" s="43" t="str">
        <f>VLOOKUP(B15,Ergebniseingabe!$AB$19:$AW$22,2,0)</f>
        <v>SF Eintracht Freiburg</v>
      </c>
      <c r="G15" s="39">
        <f>SUMPRODUCT((F15=Ergebniseingabe!$L$27:$AF$38)*(Ergebniseingabe!$BC$27:$BC$38))+SUMPRODUCT((F15=Ergebniseingabe!$AH$27:$BB$38)*(Ergebniseingabe!$BF$27:$BF$38))</f>
        <v>3</v>
      </c>
      <c r="H15" s="39">
        <f>SUMPRODUCT((F15=Ergebniseingabe!$L$27:$AF$38)*(Ergebniseingabe!$BF$27:$BF$38))+SUMPRODUCT((F15=Ergebniseingabe!$AH$27:$BB$38)*(Ergebniseingabe!$BC$27:$BC$38))</f>
        <v>6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3</v>
      </c>
      <c r="J15" s="40">
        <f>G15-H15</f>
        <v>-3</v>
      </c>
      <c r="K15" s="190">
        <f>AC15+AI15+AO15</f>
        <v>297003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1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2</v>
      </c>
      <c r="Q15" s="172" t="str">
        <f>F15</f>
        <v>SF Eintracht Freiburg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SF Eintracht Freiburg</v>
      </c>
      <c r="X15" s="174">
        <f>IF(AND(ISNUMBER(R15),ISNUMBER(S14)),IF(R15&gt;S14,3,IF(R15=S14,1,0)),0)</f>
        <v>0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0</v>
      </c>
      <c r="AB15" s="164"/>
      <c r="AC15" s="175">
        <f>I15*100000+J15*1000+G15</f>
        <v>297003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 ca="1">I15-INDEX(X15:AA15,1,$AK$13)-AR15-AW15</f>
        <v>2</v>
      </c>
      <c r="AM15" s="168">
        <f ca="1">J15-INDEX(R15:U15,1,AK13)-INDEX(S14:S17,AK13,1)-ABS(AS15)-ABS(AX15)</f>
        <v>-6</v>
      </c>
      <c r="AN15" s="168">
        <f ca="1">G15-INDEX(R15:U15,1,$AK$13)-AT15-AY15</f>
        <v>3</v>
      </c>
      <c r="AO15" s="179">
        <f>IF(OR($AD$18&lt;&gt;3,AE15="x"),0,AL15/10+AM15/1000+AN15/100000)</f>
        <v>0</v>
      </c>
      <c r="AP15" s="167"/>
      <c r="AQ15" s="180"/>
      <c r="AR15" s="168">
        <f ca="1">IF(ISNA($AQ$13),0,INDEX(X15:AA15,1,$AQ$13))</f>
        <v>0</v>
      </c>
      <c r="AS15" s="168">
        <f ca="1">IF(ISNA($AQ$13),0,(INDEX(R15:U15,1,$AQ$13)-INDEX(S14:S17,$AQ$13,1)))</f>
        <v>0</v>
      </c>
      <c r="AT15" s="168">
        <f ca="1">IF(ISNA($AQ$13),0,INDEX(R15:U15,1,$AQ$13))</f>
        <v>0</v>
      </c>
      <c r="AU15" s="166"/>
      <c r="AV15" s="180"/>
      <c r="AW15" s="168">
        <f ca="1">IF(ISNA($AV$13),0,INDEX(X15:AA15,1,$AV$13))</f>
        <v>1</v>
      </c>
      <c r="AX15" s="168">
        <f ca="1">IF(ISNA($AV$13),0,(INDEX(R15:U15,1,$AV$13)-INDEX(S14:S17,$AV$13,1)))</f>
        <v>0</v>
      </c>
      <c r="AY15" s="168">
        <f ca="1"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x14ac:dyDescent="0.15">
      <c r="B16" s="43">
        <v>3</v>
      </c>
      <c r="C16" s="151">
        <f>RANK(D16,$D$14:$D$17,1)</f>
        <v>4</v>
      </c>
      <c r="D16" s="151">
        <f>E16+ROW()/1000</f>
        <v>4.016</v>
      </c>
      <c r="E16" s="151">
        <f>RANK(K16,$K$14:$K$17)</f>
        <v>4</v>
      </c>
      <c r="F16" s="43" t="str">
        <f>VLOOKUP(B16,Ergebniseingabe!$AB$19:$AW$22,2,0)</f>
        <v>SV 08 Kuppenheim</v>
      </c>
      <c r="G16" s="39">
        <f>SUMPRODUCT((F16=Ergebniseingabe!$L$27:$AF$38)*(Ergebniseingabe!$BC$27:$BC$38))+SUMPRODUCT((F16=Ergebniseingabe!$AH$27:$BB$38)*(Ergebniseingabe!$BF$27:$BF$38))</f>
        <v>2</v>
      </c>
      <c r="H16" s="39">
        <f>SUMPRODUCT((F16=Ergebniseingabe!$L$27:$AF$38)*(Ergebniseingabe!$BF$27:$BF$38))+SUMPRODUCT((F16=Ergebniseingabe!$AH$27:$BB$38)*(Ergebniseingabe!$BC$27:$BC$38))</f>
        <v>5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-3</v>
      </c>
      <c r="K16" s="190">
        <f>AC16+AI16+AO16</f>
        <v>-2998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3</v>
      </c>
      <c r="Q16" s="172" t="str">
        <f>F16</f>
        <v>SV 08 Kuppenheim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SV 08 Kuppenheim</v>
      </c>
      <c r="X16" s="174">
        <f>IF(AND(ISNUMBER(R16),ISNUMBER(T14)),IF(R16&gt;T14,3,IF(R16=T14,1,0)),0)</f>
        <v>0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0</v>
      </c>
      <c r="AB16" s="164"/>
      <c r="AC16" s="175">
        <f>I16*100000+J16*1000+G16</f>
        <v>-2998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 ca="1">I16-INDEX(X16:AA16,1,$AK$13)-AR16-AW16</f>
        <v>-1</v>
      </c>
      <c r="AM16" s="168">
        <f ca="1">J16-INDEX(R16:U16,1,AK13)-INDEX(T14:T17,AK13,1)-ABS(AS16)-ABS(AX16)</f>
        <v>-4</v>
      </c>
      <c r="AN16" s="168">
        <f ca="1">G16-INDEX(R16:U16,1,$AK$13)-AT16-AY16</f>
        <v>2</v>
      </c>
      <c r="AO16" s="179">
        <f>IF(OR($AD$18&lt;&gt;3,AE16="x"),0,AL16/10+AM16/1000+AN16/100000)</f>
        <v>0</v>
      </c>
      <c r="AP16" s="167"/>
      <c r="AQ16" s="180"/>
      <c r="AR16" s="168">
        <f ca="1">IF(ISNA($AQ$13),0,INDEX(X16:AA16,1,$AQ$13))</f>
        <v>1</v>
      </c>
      <c r="AS16" s="168">
        <f ca="1">IF(ISNA($AQ$13),0,(INDEX(R16:U16,1,$AQ$13)-INDEX(T14:T17,$AQ$13,1)))</f>
        <v>0</v>
      </c>
      <c r="AT16" s="168">
        <f ca="1">IF(ISNA($AQ$13),0,INDEX(R16:U16,1,$AQ$13))</f>
        <v>0</v>
      </c>
      <c r="AU16" s="166"/>
      <c r="AV16" s="180"/>
      <c r="AW16" s="168">
        <f ca="1">IF(ISNA($AV$13),0,INDEX(X16:AA16,1,$AV$13))</f>
        <v>0</v>
      </c>
      <c r="AX16" s="168">
        <f ca="1">IF(ISNA($AV$13),0,(INDEX(R16:U16,1,$AV$13)-INDEX(T14:T17,$AV$13,1)))</f>
        <v>0</v>
      </c>
      <c r="AY16" s="168">
        <f ca="1"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x14ac:dyDescent="0.15">
      <c r="B17" s="43">
        <v>4</v>
      </c>
      <c r="C17" s="151">
        <f>RANK(D17,$D$14:$D$17,1)</f>
        <v>2</v>
      </c>
      <c r="D17" s="151">
        <f>E17+ROW()/1000</f>
        <v>2.0169999999999999</v>
      </c>
      <c r="E17" s="151">
        <f>RANK(K17,$K$14:$K$17)</f>
        <v>2</v>
      </c>
      <c r="F17" s="43" t="str">
        <f>VLOOKUP(B17,Ergebniseingabe!$AB$19:$AW$22,2,0)</f>
        <v>SC Pfullendorf</v>
      </c>
      <c r="G17" s="39">
        <f>SUMPRODUCT((F17=Ergebniseingabe!$L$27:$AF$38)*(Ergebniseingabe!$BC$27:$BC$38))+SUMPRODUCT((F17=Ergebniseingabe!$AH$27:$BB$38)*(Ergebniseingabe!$BF$27:$BF$38))</f>
        <v>2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7</v>
      </c>
      <c r="J17" s="40">
        <f>G17-H17</f>
        <v>2</v>
      </c>
      <c r="K17" s="190">
        <f>AC17+AI17+AO17</f>
        <v>702002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2</v>
      </c>
      <c r="N17" s="39">
        <f>SUMPRODUCT((Ergebniseingabe!$L$27:$BB$38=F17)*(Ergebniseingabe!$BC$27:$BC$38=Ergebniseingabe!$BF$27:$BF$38)*(Ergebniseingabe!$BC$27:$BC$38&lt;&gt;"")*(Ergebniseingabe!$BF$27:$BF$38&lt;&gt;""))</f>
        <v>1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SC Pfullendorf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1</v>
      </c>
      <c r="T17" s="174">
        <f>IF(AND(Q17&amp;$T$13=VLOOKUP(Q17&amp;$T$13,$D$23:$I$46,1,0),VLOOKUP(Q17&amp;$T$13,$D$23:$I$46,6,0)&lt;&gt;""),VLOOKUP(Q17&amp;$T$13,$D$23:$I$46,6,0),)</f>
        <v>1</v>
      </c>
      <c r="U17" s="173"/>
      <c r="V17" s="164"/>
      <c r="W17" s="185" t="str">
        <f>Q17</f>
        <v>SC Pfullendorf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3</v>
      </c>
      <c r="Z17" s="174">
        <f>IF(AND(ISNUMBER(T17),ISNUMBER(U16)),IF(T17&gt;U16,3,IF(T17=U16,1,0)),0)</f>
        <v>3</v>
      </c>
      <c r="AA17" s="173"/>
      <c r="AB17" s="164"/>
      <c r="AC17" s="175">
        <f>I17*100000+J17*1000+G17</f>
        <v>702002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 ca="1">I17-INDEX(X17:AA17,1,$AK$13)-AR17-AW17</f>
        <v>0</v>
      </c>
      <c r="AM17" s="168">
        <f ca="1">J17-INDEX(R17:U17,1,AK13)-INDEX(U14:U17,AK13,1)-ABS(AS17)-ABS(AX17)</f>
        <v>0</v>
      </c>
      <c r="AN17" s="168">
        <f ca="1"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 ca="1">IF(ISNA($AQ$13),0,INDEX(X17:AA17,1,$AQ$13))</f>
        <v>3</v>
      </c>
      <c r="AS17" s="168">
        <f ca="1">IF(ISNA($AQ$13),0,(INDEX(R17:U17,1,$AQ$13)-INDEX(U14:U17,$AQ$13,1)))</f>
        <v>1</v>
      </c>
      <c r="AT17" s="168">
        <f ca="1">IF(ISNA($AQ$13),0,INDEX(R17:U17,1,$AQ$13))</f>
        <v>1</v>
      </c>
      <c r="AU17" s="166"/>
      <c r="AV17" s="180"/>
      <c r="AW17" s="168">
        <f ca="1">IF(ISNA($AV$13),0,INDEX(X17:AA17,1,$AV$13))</f>
        <v>3</v>
      </c>
      <c r="AX17" s="168">
        <f ca="1">IF(ISNA($AV$13),0,(INDEX(R17:U17,1,$AV$13)-INDEX(U14:U17,$AV$13,1)))</f>
        <v>1</v>
      </c>
      <c r="AY17" s="168">
        <f ca="1">IF(ISNA($AV$13),0,INDEX(R17:U17,1,$AV$13))</f>
        <v>1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.75" x14ac:dyDescent="0.15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x14ac:dyDescent="0.1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x14ac:dyDescent="0.1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2:86" s="36" customFormat="1" x14ac:dyDescent="0.1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2:86" s="36" customFormat="1" x14ac:dyDescent="0.1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2:86" s="36" customFormat="1" x14ac:dyDescent="0.15">
      <c r="D23" s="36" t="str">
        <f t="shared" ref="D23:D46" si="0">E23&amp;F23</f>
        <v>SSC DonaueschingenFC Pfaffenweiler</v>
      </c>
      <c r="E23" s="36" t="str">
        <f>F5</f>
        <v>SSC Donaueschingen</v>
      </c>
      <c r="F23" s="36" t="str">
        <f>F6</f>
        <v>FC Pfaffenweiler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0:0</v>
      </c>
      <c r="H23" s="36" t="str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  <v/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0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2:86" s="36" customFormat="1" x14ac:dyDescent="0.15">
      <c r="D24" s="36" t="str">
        <f t="shared" si="0"/>
        <v>SSC DonaueschingenOffenburger FV</v>
      </c>
      <c r="E24" s="36" t="str">
        <f>F5</f>
        <v>SSC Donaueschingen</v>
      </c>
      <c r="F24" s="36" t="str">
        <f>F7</f>
        <v>Offenburger FV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0:0</v>
      </c>
      <c r="H24" s="36" t="str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  <v/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0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2:86" s="36" customFormat="1" x14ac:dyDescent="0.15">
      <c r="D25" s="36" t="str">
        <f t="shared" si="0"/>
        <v>SSC DonaueschingenFV Lörrach-Brombach</v>
      </c>
      <c r="E25" s="36" t="str">
        <f>F5</f>
        <v>SSC Donaueschingen</v>
      </c>
      <c r="F25" s="36" t="str">
        <f>F8</f>
        <v>FV Lörrach-Brombach</v>
      </c>
      <c r="G25" s="36" t="str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  <v/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0:1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0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2:86" s="36" customFormat="1" x14ac:dyDescent="0.15">
      <c r="D26" s="36" t="str">
        <f t="shared" si="0"/>
        <v>FC PfaffenweilerOffenburger FV</v>
      </c>
      <c r="E26" s="36" t="str">
        <f>F6</f>
        <v>FC Pfaffenweiler</v>
      </c>
      <c r="F26" s="36" t="str">
        <f>F7</f>
        <v>Offenburger FV</v>
      </c>
      <c r="G26" s="36" t="str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  <v/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1:1</v>
      </c>
      <c r="I26" s="43" t="str">
        <f>IF(SUMPRODUCT((Ergebniseingabe!$L$27:$L$38=E26)*(Ergebniseingabe!$AH$27:$AH$38=F26)*(ISNUMBER(Ergebniseingabe!$BF$27:$BF$38)))=1,SUMPRODUCT((Ergebniseingabe!$L$27:$L$38=E26)*(Ergebniseingabe!$AH$27:$AH$38=F26)*(Ergebniseingabe!$BC$27:$BC$38)),"")</f>
        <v/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2:86" s="36" customFormat="1" x14ac:dyDescent="0.15">
      <c r="D27" s="36" t="str">
        <f t="shared" si="0"/>
        <v>FC PfaffenweilerFV Lörrach-Brombach</v>
      </c>
      <c r="E27" s="36" t="str">
        <f>F6</f>
        <v>FC Pfaffenweiler</v>
      </c>
      <c r="F27" s="36" t="str">
        <f>F8</f>
        <v>FV Lörrach-Brombach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0:1</v>
      </c>
      <c r="H27" s="36" t="str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  <v/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0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2:86" s="36" customFormat="1" x14ac:dyDescent="0.15">
      <c r="D28" s="36" t="str">
        <f t="shared" si="0"/>
        <v>Offenburger FVFV Lörrach-Brombach</v>
      </c>
      <c r="E28" s="36" t="str">
        <f>F7</f>
        <v>Offenburger FV</v>
      </c>
      <c r="F28" s="36" t="str">
        <f>F8</f>
        <v>FV Lörrach-Brombach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3:0</v>
      </c>
      <c r="H28" s="36" t="str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  <v/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3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2:86" s="36" customFormat="1" x14ac:dyDescent="0.15">
      <c r="D29" s="36" t="str">
        <f t="shared" si="0"/>
        <v>FC PfaffenweilerSSC Donaueschingen</v>
      </c>
      <c r="E29" s="36" t="str">
        <f t="shared" ref="E29:E34" si="1">F23</f>
        <v>FC Pfaffenweiler</v>
      </c>
      <c r="F29" s="36" t="str">
        <f t="shared" ref="F29:F34" si="2">E23</f>
        <v>SSC Donaueschingen</v>
      </c>
      <c r="G29" s="36" t="str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  <v/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0:0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0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2:86" s="36" customFormat="1" x14ac:dyDescent="0.15">
      <c r="D30" s="36" t="str">
        <f t="shared" si="0"/>
        <v>Offenburger FVSSC Donaueschingen</v>
      </c>
      <c r="E30" s="36" t="str">
        <f t="shared" si="1"/>
        <v>Offenburger FV</v>
      </c>
      <c r="F30" s="36" t="str">
        <f t="shared" si="2"/>
        <v>SSC Donaueschingen</v>
      </c>
      <c r="G30" s="36" t="str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  <v/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0:0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0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2:86" s="36" customFormat="1" x14ac:dyDescent="0.15">
      <c r="D31" s="36" t="str">
        <f t="shared" si="0"/>
        <v>FV Lörrach-BrombachSSC Donaueschingen</v>
      </c>
      <c r="E31" s="36" t="str">
        <f t="shared" si="1"/>
        <v>FV Lörrach-Brombach</v>
      </c>
      <c r="F31" s="36" t="str">
        <f t="shared" si="2"/>
        <v>SSC Donaueschingen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1:0</v>
      </c>
      <c r="H31" s="36" t="str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  <v/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1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2:86" s="36" customFormat="1" x14ac:dyDescent="0.15">
      <c r="D32" s="36" t="str">
        <f t="shared" si="0"/>
        <v>Offenburger FVFC Pfaffenweiler</v>
      </c>
      <c r="E32" s="36" t="str">
        <f t="shared" si="1"/>
        <v>Offenburger FV</v>
      </c>
      <c r="F32" s="36" t="str">
        <f t="shared" si="2"/>
        <v>FC Pfaffenweiler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1:1</v>
      </c>
      <c r="H32" s="36" t="str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  <v/>
      </c>
      <c r="I32" s="161" t="str">
        <f>IF(SUMPRODUCT((Ergebniseingabe!$AH$27:$AH$38=E32)*(Ergebniseingabe!$L$27:$L$38=F32)*(ISNUMBER(Ergebniseingabe!$BC$27:$BC$38)))=1,SUMPRODUCT((Ergebniseingabe!$AH$27:$AH$38=E32)*(Ergebniseingabe!$L$27:$L$38=F32)*(Ergebniseingabe!$BF$27:$BF$38)),"")</f>
        <v/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x14ac:dyDescent="0.15">
      <c r="D33" s="36" t="str">
        <f t="shared" si="0"/>
        <v>FV Lörrach-BrombachFC Pfaffenweiler</v>
      </c>
      <c r="E33" s="36" t="str">
        <f t="shared" si="1"/>
        <v>FV Lörrach-Brombach</v>
      </c>
      <c r="F33" s="36" t="str">
        <f t="shared" si="2"/>
        <v>FC Pfaffenweiler</v>
      </c>
      <c r="G33" s="36" t="str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  <v/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1:0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1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x14ac:dyDescent="0.15">
      <c r="D34" s="36" t="str">
        <f t="shared" si="0"/>
        <v>FV Lörrach-BrombachOffenburger FV</v>
      </c>
      <c r="E34" s="36" t="str">
        <f t="shared" si="1"/>
        <v>FV Lörrach-Brombach</v>
      </c>
      <c r="F34" s="36" t="str">
        <f t="shared" si="2"/>
        <v>Offenburger FV</v>
      </c>
      <c r="G34" s="36" t="str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  <v/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0:3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0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x14ac:dyDescent="0.15">
      <c r="D35" s="36" t="str">
        <f t="shared" si="0"/>
        <v>FC 08 VillingenSF Eintracht Freiburg</v>
      </c>
      <c r="E35" s="36" t="str">
        <f>F14</f>
        <v>FC 08 Villingen</v>
      </c>
      <c r="F35" s="36" t="str">
        <f>F15</f>
        <v>SF Eintracht Freiburg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3:0</v>
      </c>
      <c r="H35" s="36" t="str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  <v/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3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x14ac:dyDescent="0.15">
      <c r="D36" s="36" t="str">
        <f t="shared" si="0"/>
        <v>FC 08 VillingenSV 08 Kuppenheim</v>
      </c>
      <c r="E36" s="36" t="str">
        <f>F14</f>
        <v>FC 08 Villingen</v>
      </c>
      <c r="F36" s="36" t="str">
        <f>F16</f>
        <v>SV 08 Kuppenheim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1:0</v>
      </c>
      <c r="H36" s="36" t="str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  <v/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1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x14ac:dyDescent="0.15">
      <c r="D37" s="36" t="str">
        <f t="shared" si="0"/>
        <v>FC 08 VillingenSC Pfullendorf</v>
      </c>
      <c r="E37" s="36" t="str">
        <f>F14</f>
        <v>FC 08 Villingen</v>
      </c>
      <c r="F37" s="36" t="str">
        <f>F17</f>
        <v>SC Pfullendorf</v>
      </c>
      <c r="G37" s="36" t="str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  <v/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0:0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0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x14ac:dyDescent="0.15">
      <c r="D38" s="36" t="str">
        <f t="shared" si="0"/>
        <v>SF Eintracht FreiburgSV 08 Kuppenheim</v>
      </c>
      <c r="E38" s="36" t="str">
        <f>F15</f>
        <v>SF Eintracht Freiburg</v>
      </c>
      <c r="F38" s="36" t="str">
        <f>F16</f>
        <v>SV 08 Kuppenheim</v>
      </c>
      <c r="G38" s="36" t="str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  <v/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3:2</v>
      </c>
      <c r="I38" s="43" t="str">
        <f>IF(SUMPRODUCT((Ergebniseingabe!$L$27:$L$38=E38)*(Ergebniseingabe!$AH$27:$AH$38=F38)*(ISNUMBER(Ergebniseingabe!$BF$27:$BF$38)))=1,SUMPRODUCT((Ergebniseingabe!$L$27:$L$38=E38)*(Ergebniseingabe!$AH$27:$AH$38=F38)*(Ergebniseingabe!$BC$27:$BC$38)),"")</f>
        <v/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x14ac:dyDescent="0.15">
      <c r="D39" s="36" t="str">
        <f t="shared" si="0"/>
        <v>SF Eintracht FreiburgSC Pfullendorf</v>
      </c>
      <c r="E39" s="36" t="str">
        <f>F15</f>
        <v>SF Eintracht Freiburg</v>
      </c>
      <c r="F39" s="36" t="str">
        <f>F17</f>
        <v>SC Pfullendorf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0:1</v>
      </c>
      <c r="H39" s="36" t="str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  <v/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0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x14ac:dyDescent="0.15">
      <c r="D40" s="36" t="str">
        <f t="shared" si="0"/>
        <v>SV 08 KuppenheimSC Pfullendorf</v>
      </c>
      <c r="E40" s="36" t="str">
        <f>F16</f>
        <v>SV 08 Kuppenheim</v>
      </c>
      <c r="F40" s="36" t="str">
        <f>F17</f>
        <v>SC Pfullendorf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0:1</v>
      </c>
      <c r="H40" s="36" t="str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  <v/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0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x14ac:dyDescent="0.15">
      <c r="D41" s="36" t="str">
        <f t="shared" si="0"/>
        <v>SF Eintracht FreiburgFC 08 Villingen</v>
      </c>
      <c r="E41" s="36" t="str">
        <f t="shared" ref="E41:E46" si="3">F35</f>
        <v>SF Eintracht Freiburg</v>
      </c>
      <c r="F41" s="36" t="str">
        <f t="shared" ref="F41:F46" si="4">E35</f>
        <v>FC 08 Villingen</v>
      </c>
      <c r="G41" s="36" t="str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  <v/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0:3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0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x14ac:dyDescent="0.15">
      <c r="D42" s="36" t="str">
        <f t="shared" si="0"/>
        <v>SV 08 KuppenheimFC 08 Villingen</v>
      </c>
      <c r="E42" s="36" t="str">
        <f t="shared" si="3"/>
        <v>SV 08 Kuppenheim</v>
      </c>
      <c r="F42" s="36" t="str">
        <f t="shared" si="4"/>
        <v>FC 08 Villingen</v>
      </c>
      <c r="G42" s="36" t="str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  <v/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0:1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0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x14ac:dyDescent="0.15">
      <c r="D43" s="36" t="str">
        <f t="shared" si="0"/>
        <v>SC PfullendorfFC 08 Villingen</v>
      </c>
      <c r="E43" s="36" t="str">
        <f t="shared" si="3"/>
        <v>SC Pfullendorf</v>
      </c>
      <c r="F43" s="36" t="str">
        <f t="shared" si="4"/>
        <v>FC 08 Villingen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0:0</v>
      </c>
      <c r="H43" s="36" t="str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  <v/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0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x14ac:dyDescent="0.15">
      <c r="D44" s="36" t="str">
        <f t="shared" si="0"/>
        <v>SV 08 KuppenheimSF Eintracht Freiburg</v>
      </c>
      <c r="E44" s="36" t="str">
        <f t="shared" si="3"/>
        <v>SV 08 Kuppenheim</v>
      </c>
      <c r="F44" s="36" t="str">
        <f t="shared" si="4"/>
        <v>SF Eintracht Freiburg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2:3</v>
      </c>
      <c r="H44" s="36" t="str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  <v/>
      </c>
      <c r="I44" s="161" t="str">
        <f>IF(SUMPRODUCT((Ergebniseingabe!$AH$27:$AH$38=E44)*(Ergebniseingabe!$L$27:$L$38=F44)*(ISNUMBER(Ergebniseingabe!$BC$27:$BC$38)))=1,SUMPRODUCT((Ergebniseingabe!$AH$27:$AH$38=E44)*(Ergebniseingabe!$L$27:$L$38=F44)*(Ergebniseingabe!$BF$27:$BF$38)),"")</f>
        <v/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x14ac:dyDescent="0.15">
      <c r="D45" s="36" t="str">
        <f t="shared" si="0"/>
        <v>SC PfullendorfSF Eintracht Freiburg</v>
      </c>
      <c r="E45" s="36" t="str">
        <f t="shared" si="3"/>
        <v>SC Pfullendorf</v>
      </c>
      <c r="F45" s="36" t="str">
        <f t="shared" si="4"/>
        <v>SF Eintracht Freiburg</v>
      </c>
      <c r="G45" s="36" t="str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  <v/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1:0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1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x14ac:dyDescent="0.15">
      <c r="D46" s="36" t="str">
        <f t="shared" si="0"/>
        <v>SC PfullendorfSV 08 Kuppenheim</v>
      </c>
      <c r="E46" s="36" t="str">
        <f t="shared" si="3"/>
        <v>SC Pfullendorf</v>
      </c>
      <c r="F46" s="36" t="str">
        <f t="shared" si="4"/>
        <v>SV 08 Kuppenheim</v>
      </c>
      <c r="G46" s="36" t="str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  <v/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1:0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1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4:86" s="36" customFormat="1" x14ac:dyDescent="0.1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4:86" s="36" customFormat="1" x14ac:dyDescent="0.1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x14ac:dyDescent="0.1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x14ac:dyDescent="0.1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x14ac:dyDescent="0.1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x14ac:dyDescent="0.1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x14ac:dyDescent="0.1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x14ac:dyDescent="0.1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x14ac:dyDescent="0.1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x14ac:dyDescent="0.1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Ergebniseingabe</vt:lpstr>
      <vt:lpstr>Druckversion</vt:lpstr>
      <vt:lpstr>Druckversion!Druckbereich</vt:lpstr>
      <vt:lpstr>Ergebniseingabe!Druckbereich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X</cp:lastModifiedBy>
  <dcterms:created xsi:type="dcterms:W3CDTF">2010-02-21T20:13:34Z</dcterms:created>
  <dcterms:modified xsi:type="dcterms:W3CDTF">2024-06-17T16:27:36Z</dcterms:modified>
</cp:coreProperties>
</file>